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360" windowHeight="9120" tabRatio="601" firstSheet="1" activeTab="1"/>
  </bookViews>
  <sheets>
    <sheet name="data" sheetId="1" state="hidden" r:id="rId1"/>
    <sheet name="入力" sheetId="2" r:id="rId2"/>
    <sheet name="計算" sheetId="3" r:id="rId3"/>
  </sheets>
  <definedNames>
    <definedName name="B">'計算'!$D$9</definedName>
    <definedName name="bsho">'計算'!$CO$55</definedName>
    <definedName name="bu">'計算'!$D$8</definedName>
    <definedName name="cu">'計算'!$D$18</definedName>
    <definedName name="cuf">'計算'!$E$46</definedName>
    <definedName name="d">'計算'!$F$184</definedName>
    <definedName name="Df">'計算'!$D$43</definedName>
    <definedName name="e">'計算'!$F$187</definedName>
    <definedName name="Fai">'計算'!$D$17</definedName>
    <definedName name="H">'計算'!$CC$86</definedName>
    <definedName name="Ha">'計算'!$D$7</definedName>
    <definedName name="Hb">'計算'!$CC$80</definedName>
    <definedName name="Hc">'計算'!#REF!</definedName>
    <definedName name="hf">'計算'!#REF!</definedName>
    <definedName name="Ho">'計算'!$D$14</definedName>
    <definedName name="hp">'計算'!$D$38</definedName>
    <definedName name="Hw">'入力'!$D$3</definedName>
    <definedName name="KA">'計算'!$E$154</definedName>
    <definedName name="Kh">'計算'!$D$34</definedName>
    <definedName name="Lc">'計算'!$CJ$55</definedName>
    <definedName name="Lw">'入力'!$E$6</definedName>
    <definedName name="m">'入力'!$E$8</definedName>
    <definedName name="n">'計算'!$S$7</definedName>
    <definedName name="nb">'計算'!$CC$90</definedName>
    <definedName name="P">'計算'!$D$37</definedName>
    <definedName name="Pmax">'計算'!$BZ$55</definedName>
    <definedName name="_xlnm.Print_Area" localSheetId="2">'計算'!$A$2:$I$509</definedName>
    <definedName name="_xlnm.Print_Area" localSheetId="1">'入力'!$B$1:$Q$30</definedName>
    <definedName name="q">'計算'!$D$33</definedName>
    <definedName name="qb">'計算'!$H$189</definedName>
    <definedName name="qd">'計算'!$D$41</definedName>
    <definedName name="qf">'計算'!$E$189</definedName>
    <definedName name="scal">'入力'!$L$17</definedName>
    <definedName name="shoul">'計算'!$CR$15</definedName>
    <definedName name="solver_adj" localSheetId="2" hidden="1">'計算'!$D$8</definedName>
    <definedName name="solver_lin" localSheetId="2" hidden="1">0</definedName>
    <definedName name="solver_num" localSheetId="2" hidden="1">0</definedName>
    <definedName name="solver_opt" localSheetId="2" hidden="1">'計算'!$AG$7</definedName>
    <definedName name="solver_tmp" localSheetId="2" hidden="1">'計算'!#REF!,'計算'!$E$23:$E$40</definedName>
    <definedName name="solver_typ" localSheetId="2" hidden="1">3</definedName>
    <definedName name="solver_val" localSheetId="2" hidden="1">1.2</definedName>
    <definedName name="tf">'計算'!#REF!</definedName>
    <definedName name="zc">'計算'!$E$125</definedName>
    <definedName name="α">'計算'!$CC$81</definedName>
    <definedName name="β">'計算'!$CC$82</definedName>
    <definedName name="γ1">'計算'!$E$44</definedName>
    <definedName name="γc">'計算'!$D$48</definedName>
    <definedName name="γs">'計算'!$D$16</definedName>
    <definedName name="δu">'計算'!$CC$84</definedName>
    <definedName name="θ">'計算'!$CC$85</definedName>
    <definedName name="μ">'計算'!$D$40</definedName>
    <definedName name="σca">'計算'!$D$50</definedName>
    <definedName name="σck">'入力'!$E$21</definedName>
    <definedName name="σsa">'計算'!$D$61</definedName>
    <definedName name="σta">'計算'!$D$51</definedName>
    <definedName name="τca">'計算'!$D$52</definedName>
    <definedName name="τoa">'計算'!$D$62</definedName>
    <definedName name="φ">'計算'!$CC$83</definedName>
    <definedName name="φ1">'計算'!$E$45</definedName>
    <definedName name="ω0">'計算'!$CR$14</definedName>
    <definedName name="ωr">'計算'!$CB$56</definedName>
    <definedName name="ωu">'計算'!$CB$55</definedName>
  </definedNames>
  <calcPr fullCalcOnLoad="1"/>
</workbook>
</file>

<file path=xl/comments2.xml><?xml version="1.0" encoding="utf-8"?>
<comments xmlns="http://schemas.openxmlformats.org/spreadsheetml/2006/main">
  <authors>
    <author>T.Ushiro</author>
    <author>User</author>
  </authors>
  <commentList>
    <comment ref="E12" authorId="0">
      <text>
        <r>
          <rPr>
            <sz val="9"/>
            <rFont val="ＭＳ Ｐゴシック"/>
            <family val="3"/>
          </rPr>
          <t>■背後が車道の場合
常時　　10kN/m2
地震時　0
衝突時　0
■背後が宅地の場合
常時，地震時　5kN/m2</t>
        </r>
      </text>
    </comment>
    <comment ref="E9" authorId="1">
      <text>
        <r>
          <rPr>
            <sz val="9"/>
            <rFont val="ＭＳ Ｐゴシック"/>
            <family val="3"/>
          </rPr>
          <t xml:space="preserve">標準
礫質土　20kN/m3
砂質土　19kN/m3
粘性土　18kN/m3
</t>
        </r>
      </text>
    </comment>
    <comment ref="E10" authorId="1">
      <text>
        <r>
          <rPr>
            <sz val="9"/>
            <rFont val="ＭＳ Ｐゴシック"/>
            <family val="3"/>
          </rPr>
          <t>標準
礫質土　35゜
砂質土　30゜
粘性土  25゜</t>
        </r>
      </text>
    </comment>
    <comment ref="E11" authorId="1">
      <text>
        <r>
          <rPr>
            <sz val="9"/>
            <rFont val="ＭＳ Ｐゴシック"/>
            <family val="3"/>
          </rPr>
          <t xml:space="preserve">標準は0
</t>
        </r>
      </text>
    </comment>
    <comment ref="E15" authorId="1">
      <text>
        <r>
          <rPr>
            <sz val="9"/>
            <rFont val="ＭＳ Ｐゴシック"/>
            <family val="3"/>
          </rPr>
          <t>支持地盤が岩　盤 　0.7
支持地盤が礫質土  0.6
支持地盤が砂質土　0.6
支持地盤が粘性土  0.5</t>
        </r>
      </text>
    </comment>
    <comment ref="E16" authorId="1">
      <text>
        <r>
          <rPr>
            <sz val="9"/>
            <rFont val="ＭＳ Ｐゴシック"/>
            <family val="3"/>
          </rPr>
          <t>■極限支持力度の目安
亀裂が少ない硬岩 3,000kN/m2
亀裂が多い硬岩 1,800kN/m2
軟岩・土丹        900kN/m2
密な礫層         1,800kN/m2
密でない礫層 900kN/m2
密な砂質地盤 900kN/m2
中位な砂質地盤   600kN/m2
非常に堅い粘性土 600kN/m2
堅い粘性土 300kN/m2
■N値と極限支持力度の関係
　qd=30N (kN/m2)
例えば，支持地盤のN値が15なら
　qd=30×15=450kN/m2</t>
        </r>
      </text>
    </comment>
    <comment ref="E21" authorId="1">
      <text>
        <r>
          <rPr>
            <sz val="9"/>
            <rFont val="ＭＳ Ｐゴシック"/>
            <family val="3"/>
          </rPr>
          <t xml:space="preserve">無筋コンクリート
σck=18N/m2
</t>
        </r>
      </text>
    </comment>
    <comment ref="E22" authorId="1">
      <text>
        <r>
          <rPr>
            <sz val="9"/>
            <rFont val="ＭＳ Ｐゴシック"/>
            <family val="3"/>
          </rPr>
          <t xml:space="preserve">無筋コンクリート　23kN/m2
鉄筋コンクリート 24.5kN/m2
</t>
        </r>
      </text>
    </comment>
  </commentList>
</comments>
</file>

<file path=xl/sharedStrings.xml><?xml version="1.0" encoding="utf-8"?>
<sst xmlns="http://schemas.openxmlformats.org/spreadsheetml/2006/main" count="615" uniqueCount="496">
  <si>
    <t>m</t>
  </si>
  <si>
    <t>x</t>
  </si>
  <si>
    <t>すべり面</t>
  </si>
  <si>
    <t>過載荷重</t>
  </si>
  <si>
    <t>地盤反力</t>
  </si>
  <si>
    <t>自重</t>
  </si>
  <si>
    <t>慣性力</t>
  </si>
  <si>
    <t>土圧</t>
  </si>
  <si>
    <t>衝突荷重</t>
  </si>
  <si>
    <t>合力</t>
  </si>
  <si>
    <t>rad</t>
  </si>
  <si>
    <t>擁壁形状</t>
  </si>
  <si>
    <t>(m)</t>
  </si>
  <si>
    <t>Pa</t>
  </si>
  <si>
    <t>ω</t>
  </si>
  <si>
    <t>W</t>
  </si>
  <si>
    <t>W1</t>
  </si>
  <si>
    <t>W2</t>
  </si>
  <si>
    <t>W3</t>
  </si>
  <si>
    <t>Lc1</t>
  </si>
  <si>
    <t>Lc2</t>
  </si>
  <si>
    <t>Lc3</t>
  </si>
  <si>
    <t>Lc</t>
  </si>
  <si>
    <t>計算値</t>
  </si>
  <si>
    <t>大小関係</t>
  </si>
  <si>
    <t>判定値</t>
  </si>
  <si>
    <t>評価</t>
  </si>
  <si>
    <t>偏心量</t>
  </si>
  <si>
    <t>安全率</t>
  </si>
  <si>
    <t>支持</t>
  </si>
  <si>
    <t>重　量</t>
  </si>
  <si>
    <t>重　心</t>
  </si>
  <si>
    <r>
      <t>l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</si>
  <si>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</si>
  <si>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</si>
  <si>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t>Pmax=</t>
  </si>
  <si>
    <t>deg</t>
  </si>
  <si>
    <t>主働土圧と主働すべり角</t>
  </si>
  <si>
    <t>主働すべり角</t>
  </si>
  <si>
    <t>主働土圧</t>
  </si>
  <si>
    <t>合　　力</t>
  </si>
  <si>
    <t>鉛直成分</t>
  </si>
  <si>
    <t>水平成分</t>
  </si>
  <si>
    <t>土圧係数</t>
  </si>
  <si>
    <t>土圧合力の作用位置</t>
  </si>
  <si>
    <t>Hb=</t>
  </si>
  <si>
    <t>H=</t>
  </si>
  <si>
    <t>b1=</t>
  </si>
  <si>
    <t>b2=</t>
  </si>
  <si>
    <t>nb=</t>
  </si>
  <si>
    <t>荷　重</t>
  </si>
  <si>
    <t>自　重</t>
  </si>
  <si>
    <t>土　圧</t>
  </si>
  <si>
    <t>∑</t>
  </si>
  <si>
    <t>合力作用位置</t>
  </si>
  <si>
    <t>合力の偏心量</t>
  </si>
  <si>
    <r>
      <t>地盤反力度</t>
    </r>
  </si>
  <si>
    <t>評価項目</t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</si>
  <si>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</si>
  <si>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>H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</si>
  <si>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</si>
  <si>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>ω</t>
    </r>
    <r>
      <rPr>
        <sz val="11"/>
        <rFont val="Times New Roman"/>
        <family val="1"/>
      </rPr>
      <t>rad</t>
    </r>
  </si>
  <si>
    <r>
      <t xml:space="preserve"> </t>
    </r>
    <r>
      <rPr>
        <sz val="11"/>
        <color indexed="8"/>
        <rFont val="ＭＳ 明朝"/>
        <family val="1"/>
      </rPr>
      <t>底面幅</t>
    </r>
  </si>
  <si>
    <r>
      <t>1: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=</t>
    </r>
  </si>
  <si>
    <r>
      <t>転倒</t>
    </r>
    <r>
      <rPr>
        <sz val="11"/>
        <rFont val="Times New Roman"/>
        <family val="1"/>
      </rPr>
      <t xml:space="preserve"> </t>
    </r>
  </si>
  <si>
    <r>
      <t>滑動</t>
    </r>
    <r>
      <rPr>
        <i/>
        <sz val="11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</si>
  <si>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ＭＳ 明朝"/>
        <family val="1"/>
      </rPr>
      <t>嵩上げ高</t>
    </r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</si>
  <si>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</si>
  <si>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盛土傾斜角</t>
    </r>
  </si>
  <si>
    <r>
      <t>β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</si>
  <si>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単位重量</t>
    </r>
  </si>
  <si>
    <r>
      <t>γ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</si>
  <si>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</si>
  <si>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φ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</si>
  <si>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粘着力</t>
    </r>
  </si>
  <si>
    <r>
      <t>c</t>
    </r>
    <r>
      <rPr>
        <sz val="11"/>
        <rFont val="Times New Roman"/>
        <family val="1"/>
      </rPr>
      <t>=</t>
    </r>
  </si>
  <si>
    <r>
      <t>q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</si>
  <si>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</si>
  <si>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</si>
  <si>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</si>
  <si>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</si>
  <si>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r=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</si>
  <si>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</si>
  <si>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</si>
  <si>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</si>
  <si>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</si>
  <si>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</si>
  <si>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</si>
  <si>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</si>
  <si>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</si>
  <si>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</si>
  <si>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</si>
  <si>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</si>
  <si>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</si>
  <si>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</si>
  <si>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</si>
  <si>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</si>
  <si>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</si>
  <si>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</si>
  <si>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</si>
  <si>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</si>
  <si>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t>根入深さ</t>
  </si>
  <si>
    <t>計算値</t>
  </si>
  <si>
    <t>規定値</t>
  </si>
  <si>
    <t>判定</t>
  </si>
  <si>
    <t>滑　動</t>
  </si>
  <si>
    <t>安全率</t>
  </si>
  <si>
    <t>極限支持力</t>
  </si>
  <si>
    <t>m</t>
  </si>
  <si>
    <t>偏心量</t>
  </si>
  <si>
    <t>粘着力</t>
  </si>
  <si>
    <t>衝突荷重</t>
  </si>
  <si>
    <t>種別</t>
  </si>
  <si>
    <t>選択</t>
  </si>
  <si>
    <t>衝突荷重</t>
  </si>
  <si>
    <t>衝突高さ</t>
  </si>
  <si>
    <t>衝突位置</t>
  </si>
  <si>
    <t>番号</t>
  </si>
  <si>
    <t>種別</t>
  </si>
  <si>
    <t>衝突荷重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</si>
  <si>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</si>
  <si>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</si>
  <si>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</si>
  <si>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</si>
  <si>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</si>
  <si>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</si>
  <si>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</si>
  <si>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kN</t>
  </si>
  <si>
    <t>なし</t>
  </si>
  <si>
    <t>Pa</t>
  </si>
  <si>
    <t>b</t>
  </si>
  <si>
    <t>b1</t>
  </si>
  <si>
    <t>b2</t>
  </si>
  <si>
    <t>b3</t>
  </si>
  <si>
    <t>荷重の縮尺</t>
  </si>
  <si>
    <t>◆応力計算結果</t>
  </si>
  <si>
    <t>◆インプットデータ</t>
  </si>
  <si>
    <t>ﾌﾞﾛｯｸ長</t>
  </si>
  <si>
    <t>m</t>
  </si>
  <si>
    <t>盛土</t>
  </si>
  <si>
    <t>m</t>
  </si>
  <si>
    <t>γ</t>
  </si>
  <si>
    <t>ｶﾞｰﾄﾞﾚｰﾙ</t>
  </si>
  <si>
    <t>摩擦係数</t>
  </si>
  <si>
    <t>μ</t>
  </si>
  <si>
    <t>根入地盤</t>
  </si>
  <si>
    <t>m</t>
  </si>
  <si>
    <t>内部摩擦角</t>
  </si>
  <si>
    <t>照査項目</t>
  </si>
  <si>
    <t>転　倒</t>
  </si>
  <si>
    <t>安定数</t>
  </si>
  <si>
    <t>照査項目</t>
  </si>
  <si>
    <t>計算結果</t>
  </si>
  <si>
    <t>許容値</t>
  </si>
  <si>
    <t>引張応力</t>
  </si>
  <si>
    <t>せん断</t>
  </si>
  <si>
    <t>種別</t>
  </si>
  <si>
    <t>kN</t>
  </si>
  <si>
    <t>作用高</t>
  </si>
  <si>
    <t>単位重量</t>
  </si>
  <si>
    <t>粘着力</t>
  </si>
  <si>
    <t>設計基準強度</t>
  </si>
  <si>
    <t>許容引張応力度</t>
  </si>
  <si>
    <t>許容せん断応力度</t>
  </si>
  <si>
    <t>kN/m</t>
  </si>
  <si>
    <t>m</t>
  </si>
  <si>
    <t>試行くさび法による．</t>
  </si>
  <si>
    <t>擁壁盛土</t>
  </si>
  <si>
    <t>支柱</t>
  </si>
  <si>
    <t>羽根</t>
  </si>
  <si>
    <t>m</t>
  </si>
  <si>
    <t>kN/m</t>
  </si>
  <si>
    <t>m</t>
  </si>
  <si>
    <t>作用高</t>
  </si>
  <si>
    <t>m</t>
  </si>
  <si>
    <t>擁壁ﾌﾞﾛｯｸ長</t>
  </si>
  <si>
    <t>m</t>
  </si>
  <si>
    <t>m</t>
  </si>
  <si>
    <t>m</t>
  </si>
  <si>
    <t>底版幅</t>
  </si>
  <si>
    <t>B=</t>
  </si>
  <si>
    <t>e=</t>
  </si>
  <si>
    <t>安定率</t>
  </si>
  <si>
    <t>鉛直力</t>
  </si>
  <si>
    <t>kN/m</t>
  </si>
  <si>
    <t>水平力</t>
  </si>
  <si>
    <t>kN/m</t>
  </si>
  <si>
    <t>摩擦係数</t>
  </si>
  <si>
    <t>受動土圧</t>
  </si>
  <si>
    <t>m</t>
  </si>
  <si>
    <t>安全率</t>
  </si>
  <si>
    <t>極限支持力度</t>
  </si>
  <si>
    <t>安全率</t>
  </si>
  <si>
    <t>安定数</t>
  </si>
  <si>
    <t>(m)</t>
  </si>
  <si>
    <t>(kN/m)</t>
  </si>
  <si>
    <t>(kN-m/m)</t>
  </si>
  <si>
    <t>(m)</t>
  </si>
  <si>
    <t>(kN/m)</t>
  </si>
  <si>
    <t>(kN-m/m)</t>
  </si>
  <si>
    <t>(kN/m)</t>
  </si>
  <si>
    <t>(kN-m/m)</t>
  </si>
  <si>
    <t>(kN/m)</t>
  </si>
  <si>
    <t>(kN-m/m)</t>
  </si>
  <si>
    <t>max=</t>
  </si>
  <si>
    <t>min=</t>
  </si>
  <si>
    <t>引張応力度</t>
  </si>
  <si>
    <t>せん断応力度</t>
  </si>
  <si>
    <t>m</t>
  </si>
  <si>
    <r>
      <t xml:space="preserve"> </t>
    </r>
    <r>
      <rPr>
        <sz val="11"/>
        <color indexed="8"/>
        <rFont val="ＭＳ 明朝"/>
        <family val="1"/>
      </rPr>
      <t>盛土勾配</t>
    </r>
  </si>
  <si>
    <r>
      <t>kN/m</t>
    </r>
    <r>
      <rPr>
        <vertAlign val="superscript"/>
        <sz val="11"/>
        <rFont val="Times New Roman"/>
        <family val="1"/>
      </rPr>
      <t>3</t>
    </r>
  </si>
  <si>
    <t>φ</t>
  </si>
  <si>
    <t>度</t>
  </si>
  <si>
    <r>
      <t>kN/m</t>
    </r>
    <r>
      <rPr>
        <vertAlign val="superscript"/>
        <sz val="11"/>
        <rFont val="Times New Roman"/>
        <family val="1"/>
      </rPr>
      <t>2</t>
    </r>
  </si>
  <si>
    <t>荷重</t>
  </si>
  <si>
    <t>載荷重</t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</si>
  <si>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</si>
  <si>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</t>
    </r>
    <r>
      <rPr>
        <sz val="11"/>
        <color indexed="8"/>
        <rFont val="ＭＳ 明朝"/>
        <family val="1"/>
      </rPr>
      <t>水平震度</t>
    </r>
  </si>
  <si>
    <t>支持地盤</t>
  </si>
  <si>
    <r>
      <t>kN/m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</si>
  <si>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S=1</t>
    </r>
    <r>
      <rPr>
        <sz val="11"/>
        <rFont val="ＭＳ 明朝"/>
        <family val="1"/>
      </rPr>
      <t>：</t>
    </r>
  </si>
  <si>
    <t>単位重量</t>
  </si>
  <si>
    <r>
      <t>γ</t>
    </r>
    <r>
      <rPr>
        <vertAlign val="subscript"/>
        <sz val="11"/>
        <rFont val="Times New Roman"/>
        <family val="1"/>
      </rPr>
      <t>1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</si>
  <si>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</si>
  <si>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</si>
  <si>
    <t>◆安定計算結果</t>
  </si>
  <si>
    <r>
      <t>kN/m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</si>
  <si>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</si>
  <si>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安全率</t>
  </si>
  <si>
    <t>支持力</t>
  </si>
  <si>
    <t>ﾌﾞﾛｯｸ長</t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</si>
  <si>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</si>
  <si>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t>度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</si>
  <si>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</si>
  <si>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載荷重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</si>
  <si>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</si>
  <si>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衝突荷重</t>
  </si>
  <si>
    <r>
      <t>m    (</t>
    </r>
    <r>
      <rPr>
        <sz val="11"/>
        <color indexed="8"/>
        <rFont val="ＭＳ 明朝"/>
        <family val="1"/>
      </rPr>
      <t>路面からの高さ</t>
    </r>
    <r>
      <rPr>
        <sz val="11"/>
        <color indexed="8"/>
        <rFont val="Times New Roman"/>
        <family val="1"/>
      </rPr>
      <t>)</t>
    </r>
  </si>
  <si>
    <t>極限支持力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</si>
  <si>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</si>
  <si>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</si>
  <si>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</si>
  <si>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</si>
  <si>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</si>
  <si>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単位体積重量</t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</si>
  <si>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</si>
  <si>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</si>
  <si>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color indexed="8"/>
        <rFont val="Times New Roman"/>
        <family val="1"/>
      </rPr>
      <t>2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</si>
  <si>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</si>
  <si>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</si>
  <si>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color indexed="8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</si>
  <si>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</si>
  <si>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</si>
  <si>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t>許容応力割増率</t>
  </si>
  <si>
    <r>
      <t>ε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</si>
  <si>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</si>
  <si>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</si>
  <si>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</si>
  <si>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</si>
  <si>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</si>
  <si>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</si>
  <si>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</si>
  <si>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</si>
  <si>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</si>
  <si>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衝突荷重</t>
  </si>
  <si>
    <r>
      <t>P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</si>
  <si>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</si>
  <si>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</si>
  <si>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</si>
  <si>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</si>
  <si>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</si>
  <si>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</si>
  <si>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</si>
  <si>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</si>
  <si>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</si>
  <si>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</si>
  <si>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</si>
  <si>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</si>
  <si>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</si>
  <si>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</si>
  <si>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最大地盤反力度</t>
  </si>
  <si>
    <r>
      <t>b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</si>
  <si>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cz</t>
    </r>
  </si>
  <si>
    <r>
      <t>S</t>
    </r>
    <r>
      <rPr>
        <i/>
        <vertAlign val="subscript"/>
        <sz val="11"/>
        <rFont val="Times New Roman"/>
        <family val="1"/>
      </rPr>
      <t>cz</t>
    </r>
  </si>
  <si>
    <r>
      <t>M</t>
    </r>
    <r>
      <rPr>
        <i/>
        <vertAlign val="subscript"/>
        <sz val="11"/>
        <rFont val="Times New Roman"/>
        <family val="1"/>
      </rPr>
      <t>cz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</si>
  <si>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は安定計算時に算出した土圧係数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</si>
  <si>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</si>
  <si>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z</t>
    </r>
  </si>
  <si>
    <r>
      <t>P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</si>
  <si>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</si>
  <si>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</si>
  <si>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</si>
  <si>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</si>
  <si>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</si>
  <si>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</si>
  <si>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z</t>
    </r>
  </si>
  <si>
    <r>
      <t>S</t>
    </r>
    <r>
      <rPr>
        <i/>
        <vertAlign val="subscript"/>
        <sz val="11"/>
        <rFont val="Times New Roman"/>
        <family val="1"/>
      </rPr>
      <t>z</t>
    </r>
  </si>
  <si>
    <r>
      <t>M</t>
    </r>
    <r>
      <rPr>
        <i/>
        <vertAlign val="subscript"/>
        <sz val="11"/>
        <rFont val="Times New Roman"/>
        <family val="1"/>
      </rPr>
      <t>z</t>
    </r>
  </si>
  <si>
    <r>
      <t>τ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</si>
  <si>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σ</t>
    </r>
    <r>
      <rPr>
        <i/>
        <vertAlign val="subscript"/>
        <sz val="11"/>
        <rFont val="Times New Roman"/>
        <family val="1"/>
      </rPr>
      <t>ca</t>
    </r>
  </si>
  <si>
    <r>
      <t>σ</t>
    </r>
    <r>
      <rPr>
        <i/>
        <vertAlign val="subscript"/>
        <sz val="11"/>
        <rFont val="Times New Roman"/>
        <family val="1"/>
      </rPr>
      <t>ta</t>
    </r>
  </si>
  <si>
    <r>
      <t>τ</t>
    </r>
    <r>
      <rPr>
        <i/>
        <vertAlign val="subscript"/>
        <sz val="11"/>
        <rFont val="Times New Roman"/>
        <family val="1"/>
      </rPr>
      <t>ca</t>
    </r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</si>
  <si>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</si>
  <si>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圧縮応力度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</si>
  <si>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</si>
  <si>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</si>
  <si>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</si>
  <si>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軸力</t>
  </si>
  <si>
    <r>
      <t>天端からの深さ</t>
    </r>
    <r>
      <rPr>
        <i/>
        <sz val="11"/>
        <rFont val="Times New Roman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</si>
  <si>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</si>
  <si>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t>部材厚さ</t>
  </si>
  <si>
    <t>せん断力</t>
  </si>
  <si>
    <t>モーメント</t>
  </si>
  <si>
    <t>主働土圧</t>
  </si>
  <si>
    <t>部材厚さ</t>
  </si>
  <si>
    <t>圧縮応力</t>
  </si>
  <si>
    <t>せん断応力</t>
  </si>
  <si>
    <t>許容応力度</t>
  </si>
  <si>
    <t>有効長</t>
  </si>
  <si>
    <r>
      <t>L</t>
    </r>
    <r>
      <rPr>
        <i/>
        <vertAlign val="subscript"/>
        <sz val="11"/>
        <rFont val="Times New Roman"/>
        <family val="1"/>
      </rPr>
      <t>z</t>
    </r>
  </si>
  <si>
    <t>(m)</t>
  </si>
  <si>
    <r>
      <t>前面σ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</si>
  <si>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背面σ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2</t>
    </r>
  </si>
  <si>
    <r>
      <t>kN</t>
    </r>
    <r>
      <rPr>
        <sz val="11"/>
        <rFont val="Times New Roman"/>
        <family val="1"/>
      </rPr>
      <t>/m</t>
    </r>
  </si>
  <si>
    <t>◆擁壁自重による断面力</t>
  </si>
  <si>
    <t>◆主働土圧による断面力</t>
  </si>
  <si>
    <t>◆衝突荷重による断面力</t>
  </si>
  <si>
    <t>◆荷重による断面力</t>
  </si>
  <si>
    <t>安全側を考え，曲げモーメントのみを受ける長方形断面として計算する．</t>
  </si>
  <si>
    <t>有効幅</t>
  </si>
  <si>
    <r>
      <t>b</t>
    </r>
    <r>
      <rPr>
        <sz val="11"/>
        <rFont val="Times New Roman"/>
        <family val="1"/>
      </rPr>
      <t>=</t>
    </r>
  </si>
  <si>
    <t>mm</t>
  </si>
  <si>
    <t>鉄筋中心かぶり</t>
  </si>
  <si>
    <r>
      <t>i</t>
    </r>
    <r>
      <rPr>
        <sz val="11"/>
        <rFont val="Times New Roman"/>
        <family val="1"/>
      </rPr>
      <t>=</t>
    </r>
  </si>
  <si>
    <t>mm</t>
  </si>
  <si>
    <t>鉄筋径</t>
  </si>
  <si>
    <t>公称断面積</t>
  </si>
  <si>
    <r>
      <t>A</t>
    </r>
    <r>
      <rPr>
        <i/>
        <vertAlign val="subscript"/>
        <sz val="11"/>
        <rFont val="Times New Roman"/>
        <family val="1"/>
      </rPr>
      <t>s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</si>
  <si>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本</t>
    </r>
  </si>
  <si>
    <t>鉄筋本数</t>
  </si>
  <si>
    <r>
      <t>m</t>
    </r>
    <r>
      <rPr>
        <sz val="11"/>
        <rFont val="Times New Roman"/>
        <family val="1"/>
      </rPr>
      <t>=</t>
    </r>
  </si>
  <si>
    <t>本/m</t>
  </si>
  <si>
    <t>鉄筋量</t>
  </si>
  <si>
    <r>
      <t>A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</si>
  <si>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</si>
  <si>
    <t>部材厚さ</t>
  </si>
  <si>
    <t>モーメント</t>
  </si>
  <si>
    <t>有効高</t>
  </si>
  <si>
    <t>鉄筋比</t>
  </si>
  <si>
    <t>係数</t>
  </si>
  <si>
    <t>応力度</t>
  </si>
  <si>
    <r>
      <t>b</t>
    </r>
    <r>
      <rPr>
        <i/>
        <vertAlign val="subscript"/>
        <sz val="11"/>
        <rFont val="Times New Roman"/>
        <family val="1"/>
      </rPr>
      <t>z</t>
    </r>
  </si>
  <si>
    <t>M</t>
  </si>
  <si>
    <t>d</t>
  </si>
  <si>
    <t>p</t>
  </si>
  <si>
    <t>k</t>
  </si>
  <si>
    <t>j</t>
  </si>
  <si>
    <t>(kN-m)</t>
  </si>
  <si>
    <t>(mm)</t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</si>
  <si>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</si>
  <si>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最大応力度</t>
  </si>
  <si>
    <t>コンクリート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</si>
  <si>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</si>
  <si>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</si>
  <si>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鉄筋</t>
  </si>
  <si>
    <r>
      <t>σ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</si>
  <si>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</si>
  <si>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</si>
  <si>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</si>
  <si>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mm</t>
  </si>
  <si>
    <t>ピッチ</t>
  </si>
  <si>
    <t>かぶり</t>
  </si>
  <si>
    <t>無筋コンクリート</t>
  </si>
  <si>
    <t>鉄筋</t>
  </si>
  <si>
    <t>σz2/σta</t>
  </si>
  <si>
    <t>z</t>
  </si>
  <si>
    <t>前面応力</t>
  </si>
  <si>
    <t>背面応力</t>
  </si>
  <si>
    <t>許容引張応力</t>
  </si>
  <si>
    <t>z</t>
  </si>
  <si>
    <t>軸力</t>
  </si>
  <si>
    <t>せん断力</t>
  </si>
  <si>
    <t>曲げﾓｰﾒﾝﾄ</t>
  </si>
  <si>
    <t>min</t>
  </si>
  <si>
    <t>◆無筋コンクリートの応力度</t>
  </si>
  <si>
    <t>H</t>
  </si>
  <si>
    <t>B</t>
  </si>
  <si>
    <r>
      <t>L</t>
    </r>
    <r>
      <rPr>
        <i/>
        <vertAlign val="subscript"/>
        <sz val="11"/>
        <rFont val="Times New Roman"/>
        <family val="1"/>
      </rPr>
      <t>w</t>
    </r>
  </si>
  <si>
    <r>
      <t>c</t>
    </r>
    <r>
      <rPr>
        <vertAlign val="subscript"/>
        <sz val="11"/>
        <rFont val="Times New Roman"/>
        <family val="1"/>
      </rPr>
      <t>1</t>
    </r>
  </si>
  <si>
    <r>
      <t>q</t>
    </r>
    <r>
      <rPr>
        <i/>
        <vertAlign val="subscript"/>
        <sz val="11"/>
        <rFont val="Times New Roman"/>
        <family val="1"/>
      </rPr>
      <t>d</t>
    </r>
  </si>
  <si>
    <t>c</t>
  </si>
  <si>
    <t>q</t>
  </si>
  <si>
    <r>
      <t>k</t>
    </r>
    <r>
      <rPr>
        <i/>
        <vertAlign val="subscript"/>
        <sz val="11"/>
        <rFont val="Times New Roman"/>
        <family val="1"/>
      </rPr>
      <t>H</t>
    </r>
  </si>
  <si>
    <r>
      <t>D</t>
    </r>
    <r>
      <rPr>
        <i/>
        <vertAlign val="subscript"/>
        <sz val="11"/>
        <rFont val="Times New Roman"/>
        <family val="1"/>
      </rPr>
      <t>f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</si>
  <si>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</si>
  <si>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n=</t>
    </r>
    <r>
      <rPr>
        <sz val="11"/>
        <rFont val="Times New Roman"/>
        <family val="1"/>
      </rPr>
      <t>1:</t>
    </r>
  </si>
  <si>
    <r>
      <t>b</t>
    </r>
    <r>
      <rPr>
        <i/>
        <vertAlign val="subscript"/>
        <sz val="11"/>
        <rFont val="Times New Roman"/>
        <family val="1"/>
      </rPr>
      <t>u</t>
    </r>
  </si>
  <si>
    <r>
      <t>H</t>
    </r>
    <r>
      <rPr>
        <vertAlign val="subscript"/>
        <sz val="11"/>
        <rFont val="Times New Roman"/>
        <family val="1"/>
      </rPr>
      <t>0</t>
    </r>
  </si>
  <si>
    <r>
      <t>ω</t>
    </r>
    <r>
      <rPr>
        <sz val="11"/>
        <rFont val="Times New Roman"/>
        <family val="1"/>
      </rPr>
      <t>0=</t>
    </r>
  </si>
  <si>
    <t>shoul=</t>
  </si>
  <si>
    <t>水平</t>
  </si>
  <si>
    <t>一様</t>
  </si>
  <si>
    <t>嵩上げ</t>
  </si>
  <si>
    <t>◆荷重図</t>
  </si>
  <si>
    <t>度</t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</si>
  <si>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</si>
  <si>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</si>
  <si>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q1</t>
  </si>
  <si>
    <t>q2</t>
  </si>
  <si>
    <t>台形分布</t>
  </si>
  <si>
    <t>三角形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</si>
  <si>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</si>
  <si>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</si>
  <si>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t>背面勾配</t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</si>
  <si>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</si>
  <si>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t>D</t>
  </si>
  <si>
    <t>As</t>
  </si>
  <si>
    <t>鉄筋種別</t>
  </si>
  <si>
    <t>鉄筋直径</t>
  </si>
  <si>
    <t>鉄筋コンクリート(SD295A)</t>
  </si>
  <si>
    <t>鉄筋コンクリート(SD345)</t>
  </si>
  <si>
    <t>D13</t>
  </si>
  <si>
    <t>D16</t>
  </si>
  <si>
    <t>D19</t>
  </si>
  <si>
    <t>D22</t>
  </si>
  <si>
    <t>D25</t>
  </si>
  <si>
    <t>D29</t>
  </si>
  <si>
    <t>D32</t>
  </si>
  <si>
    <r>
      <t>(=2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>H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))</t>
    </r>
  </si>
  <si>
    <t>－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</si>
  <si>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</si>
  <si>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</si>
  <si>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</si>
  <si>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</si>
  <si>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◆形状寸法図</t>
  </si>
  <si>
    <t>(1)　荷重条件</t>
  </si>
  <si>
    <t>(2)　擁壁形状</t>
  </si>
  <si>
    <t>(3)　盛土</t>
  </si>
  <si>
    <t>１．　設計条件</t>
  </si>
  <si>
    <t>(9)　壁の鉄筋</t>
  </si>
  <si>
    <t>(4)　荷　　重</t>
  </si>
  <si>
    <t>(3) 　衝突荷重</t>
  </si>
  <si>
    <t>(4) 　荷重の集計</t>
  </si>
  <si>
    <t>（３）　支持力に対する照査</t>
  </si>
  <si>
    <r>
      <t>H</t>
    </r>
    <r>
      <rPr>
        <sz val="11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</si>
  <si>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</si>
  <si>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</si>
  <si>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</si>
  <si>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</si>
  <si>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</si>
  <si>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1m</t>
    </r>
    <r>
      <rPr>
        <sz val="11"/>
        <rFont val="ＭＳ 明朝"/>
        <family val="1"/>
      </rPr>
      <t>当たり衝突荷重</t>
    </r>
  </si>
  <si>
    <r>
      <t>擁壁天端から</t>
    </r>
    <r>
      <rPr>
        <i/>
        <sz val="11"/>
        <rFont val="Times New Roman"/>
        <family val="1"/>
      </rPr>
      <t>z</t>
    </r>
    <r>
      <rPr>
        <sz val="11"/>
        <rFont val="ＭＳ 明朝"/>
        <family val="1"/>
      </rPr>
      <t>の深さでの部材厚</t>
    </r>
  </si>
  <si>
    <r>
      <t>σ</t>
    </r>
    <r>
      <rPr>
        <i/>
        <vertAlign val="subscript"/>
        <sz val="11"/>
        <rFont val="ＭＳ Ｐ明朝"/>
        <family val="1"/>
      </rPr>
      <t>c</t>
    </r>
  </si>
  <si>
    <r>
      <t>σ</t>
    </r>
    <r>
      <rPr>
        <i/>
        <vertAlign val="subscript"/>
        <sz val="11"/>
        <rFont val="ＭＳ Ｐ明朝"/>
        <family val="1"/>
      </rPr>
      <t>s</t>
    </r>
  </si>
  <si>
    <t>(5)　ガードレール</t>
  </si>
  <si>
    <t>(6)　支持地盤</t>
  </si>
  <si>
    <t>(7)根入地盤</t>
  </si>
  <si>
    <t>(8)　コンクリート</t>
  </si>
  <si>
    <t>２．　荷　　重</t>
  </si>
  <si>
    <t>(1) 　自　重</t>
  </si>
  <si>
    <t>(2) 　主働土圧</t>
  </si>
  <si>
    <t>３．　安定計算</t>
  </si>
  <si>
    <t>（1）　転倒に対する照査</t>
  </si>
  <si>
    <t>（２）　滑動に対する照査</t>
  </si>
  <si>
    <t>（４）　安定計算結果</t>
  </si>
  <si>
    <t>４．　応力度の計算</t>
  </si>
  <si>
    <t>（１）　断面力</t>
  </si>
  <si>
    <t>（２）　無筋コンクリートとしての応力度</t>
  </si>
  <si>
    <t>（３）　鉄筋コンクリートとしての応力度</t>
  </si>
  <si>
    <r>
      <t>天端からの深さ</t>
    </r>
    <r>
      <rPr>
        <i/>
        <sz val="11"/>
        <rFont val="ＭＳ Ｐゴシック"/>
        <family val="3"/>
      </rPr>
      <t>z</t>
    </r>
  </si>
  <si>
    <t>コンクリート</t>
  </si>
  <si>
    <r>
      <t>設計基準強度σ</t>
    </r>
    <r>
      <rPr>
        <vertAlign val="subscript"/>
        <sz val="11"/>
        <rFont val="ＭＳ 明朝"/>
        <family val="1"/>
      </rPr>
      <t>ck</t>
    </r>
  </si>
  <si>
    <r>
      <t>単位体積重量γ</t>
    </r>
    <r>
      <rPr>
        <vertAlign val="subscript"/>
        <sz val="11"/>
        <rFont val="ＭＳ 明朝"/>
        <family val="1"/>
      </rPr>
      <t>c</t>
    </r>
  </si>
  <si>
    <t>盛土の土質定数(道路土工-擁壁工指針)</t>
  </si>
  <si>
    <t>土質</t>
  </si>
  <si>
    <t>単位重量</t>
  </si>
  <si>
    <t>内部摩擦角</t>
  </si>
  <si>
    <t>礫質土</t>
  </si>
  <si>
    <t>砂質土</t>
  </si>
  <si>
    <t>粘性土</t>
  </si>
  <si>
    <t>支持地盤の許容支持力(kN/m2)と摩擦係数(道路土工-擁壁工指針)</t>
  </si>
  <si>
    <t>種　　　類</t>
  </si>
  <si>
    <t>許容支持力</t>
  </si>
  <si>
    <t>摩擦係数</t>
  </si>
  <si>
    <t>亀裂少ない硬岩</t>
  </si>
  <si>
    <t>亀裂多い硬岩</t>
  </si>
  <si>
    <t>軟岩・土丹</t>
  </si>
  <si>
    <t>密な礫層</t>
  </si>
  <si>
    <t>密でない礫層</t>
  </si>
  <si>
    <t>密な砂質地盤</t>
  </si>
  <si>
    <t>中位な砂質地盤</t>
  </si>
  <si>
    <t>非常に堅い粘性土</t>
  </si>
  <si>
    <t>堅い粘性土</t>
  </si>
  <si>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</si>
  <si>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m</t>
  </si>
  <si>
    <t>n2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</si>
</sst>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_);[Red]\(0.0\)"/>
    <numFmt numFmtId="183" formatCode="0.0_ "/>
    <numFmt numFmtId="184" formatCode="0.00_);[Red]\(0.00\)"/>
    <numFmt numFmtId="185" formatCode="0.000_);[Red]\(0.000\)"/>
    <numFmt numFmtId="186" formatCode="0.00_ "/>
    <numFmt numFmtId="187" formatCode="0_);[Red]\(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9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sz val="11"/>
      <color indexed="8"/>
      <name val="ＭＳ 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i/>
      <vertAlign val="subscript"/>
      <sz val="11"/>
      <name val="ＭＳ Ｐ明朝"/>
      <family val="1"/>
    </font>
    <font>
      <i/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1.65"/>
      <color indexed="36"/>
      <name val="明朝"/>
      <family val="1"/>
    </font>
    <font>
      <sz val="14"/>
      <color indexed="61"/>
      <name val="ＭＳ Ｐゴシック"/>
      <family val="3"/>
    </font>
    <font>
      <vertAlign val="subscript"/>
      <sz val="11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.5"/>
      <color indexed="8"/>
      <name val="ＭＳ 明朝"/>
      <family val="1"/>
    </font>
    <font>
      <sz val="9.5"/>
      <color indexed="8"/>
      <name val="Times New Roman"/>
      <family val="1"/>
    </font>
    <font>
      <sz val="7.8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.65"/>
      <color indexed="8"/>
      <name val="ＭＳ 明朝"/>
      <family val="1"/>
    </font>
    <font>
      <sz val="9.75"/>
      <color indexed="8"/>
      <name val="ＭＳ 明朝"/>
      <family val="1"/>
    </font>
    <font>
      <sz val="9.75"/>
      <color indexed="8"/>
      <name val="Times New Roman"/>
      <family val="1"/>
    </font>
    <font>
      <sz val="8.95"/>
      <color indexed="8"/>
      <name val="ＭＳ 明朝"/>
      <family val="1"/>
    </font>
    <font>
      <sz val="5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.5"/>
      <color indexed="8"/>
      <name val="ＭＳ 明朝"/>
      <family val="1"/>
    </font>
    <font>
      <vertAlign val="superscript"/>
      <sz val="9.5"/>
      <color indexed="8"/>
      <name val="Times New Roman"/>
      <family val="1"/>
    </font>
    <font>
      <i/>
      <sz val="10"/>
      <color indexed="8"/>
      <name val="Symbol"/>
      <family val="1"/>
    </font>
    <font>
      <i/>
      <sz val="10"/>
      <color indexed="8"/>
      <name val="ＭＳ 明朝"/>
      <family val="1"/>
    </font>
    <font>
      <i/>
      <vertAlign val="subscript"/>
      <sz val="10"/>
      <color indexed="8"/>
      <name val="ＭＳ 明朝"/>
      <family val="1"/>
    </font>
    <font>
      <sz val="11"/>
      <color indexed="8"/>
      <name val="明朝"/>
      <family val="1"/>
    </font>
    <font>
      <vertAlign val="superscript"/>
      <sz val="10.5"/>
      <color indexed="8"/>
      <name val="Times New Roman"/>
      <family val="1"/>
    </font>
    <font>
      <i/>
      <sz val="9.7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2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9" fillId="0" borderId="0" xfId="0" applyFont="1" applyFill="1" applyAlignment="1" quotePrefix="1">
      <alignment horizontal="righ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1" fontId="8" fillId="0" borderId="0" xfId="0" applyNumberFormat="1" applyFont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9" fillId="0" borderId="0" xfId="0" applyFont="1" applyAlignment="1" quotePrefix="1">
      <alignment horizontal="right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81" fontId="8" fillId="0" borderId="0" xfId="0" applyNumberFormat="1" applyFont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2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right" vertical="center"/>
    </xf>
    <xf numFmtId="176" fontId="9" fillId="0" borderId="0" xfId="0" applyNumberFormat="1" applyFont="1" applyFill="1" applyAlignment="1" quotePrefix="1">
      <alignment horizontal="right" vertical="center"/>
    </xf>
    <xf numFmtId="176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1" fontId="17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76" fontId="8" fillId="0" borderId="0" xfId="0" applyNumberFormat="1" applyFont="1" applyBorder="1" applyAlignment="1" applyProtection="1">
      <alignment vertical="center"/>
      <protection hidden="1"/>
    </xf>
    <xf numFmtId="0" fontId="8" fillId="33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 quotePrefix="1">
      <alignment horizontal="left" vertical="center"/>
    </xf>
    <xf numFmtId="176" fontId="8" fillId="0" borderId="0" xfId="0" applyNumberFormat="1" applyFont="1" applyBorder="1" applyAlignment="1" quotePrefix="1">
      <alignment horizontal="left" vertical="center"/>
    </xf>
    <xf numFmtId="176" fontId="4" fillId="35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86" fontId="8" fillId="0" borderId="15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0" fontId="22" fillId="0" borderId="19" xfId="0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182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2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quotePrefix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186" fontId="8" fillId="0" borderId="14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7" fillId="37" borderId="0" xfId="0" applyFont="1" applyFill="1" applyBorder="1" applyAlignment="1">
      <alignment vertical="center"/>
    </xf>
    <xf numFmtId="0" fontId="17" fillId="37" borderId="0" xfId="0" applyFont="1" applyFill="1" applyBorder="1" applyAlignment="1" quotePrefix="1">
      <alignment horizontal="left" vertical="center"/>
    </xf>
    <xf numFmtId="0" fontId="9" fillId="37" borderId="0" xfId="0" applyFont="1" applyFill="1" applyAlignment="1" quotePrefix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22" fillId="37" borderId="0" xfId="0" applyFont="1" applyFill="1" applyAlignment="1">
      <alignment vertical="center"/>
    </xf>
    <xf numFmtId="0" fontId="8" fillId="37" borderId="0" xfId="0" applyFont="1" applyFill="1" applyAlignment="1" quotePrefix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17" fillId="37" borderId="0" xfId="0" applyFont="1" applyFill="1" applyBorder="1" applyAlignment="1" quotePrefix="1">
      <alignment horizontal="left" vertical="center" shrinkToFit="1"/>
    </xf>
    <xf numFmtId="0" fontId="17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vertical="center" shrinkToFit="1"/>
    </xf>
    <xf numFmtId="0" fontId="4" fillId="37" borderId="0" xfId="0" applyFont="1" applyFill="1" applyAlignment="1">
      <alignment vertical="center" shrinkToFit="1"/>
    </xf>
    <xf numFmtId="0" fontId="8" fillId="37" borderId="0" xfId="0" applyFont="1" applyFill="1" applyAlignment="1">
      <alignment horizontal="right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2" fontId="8" fillId="37" borderId="20" xfId="0" applyNumberFormat="1" applyFont="1" applyFill="1" applyBorder="1" applyAlignment="1">
      <alignment horizontal="center" vertical="center"/>
    </xf>
    <xf numFmtId="181" fontId="8" fillId="37" borderId="20" xfId="0" applyNumberFormat="1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right" vertical="center"/>
    </xf>
    <xf numFmtId="0" fontId="4" fillId="37" borderId="20" xfId="0" applyFont="1" applyFill="1" applyBorder="1" applyAlignment="1">
      <alignment horizontal="center" vertical="center" wrapText="1"/>
    </xf>
    <xf numFmtId="2" fontId="8" fillId="37" borderId="19" xfId="0" applyNumberFormat="1" applyFont="1" applyFill="1" applyBorder="1" applyAlignment="1">
      <alignment horizontal="center" vertical="center"/>
    </xf>
    <xf numFmtId="181" fontId="8" fillId="37" borderId="19" xfId="0" applyNumberFormat="1" applyFont="1" applyFill="1" applyBorder="1" applyAlignment="1">
      <alignment horizontal="center" vertical="center"/>
    </xf>
    <xf numFmtId="176" fontId="8" fillId="37" borderId="20" xfId="0" applyNumberFormat="1" applyFont="1" applyFill="1" applyBorder="1" applyAlignment="1">
      <alignment horizontal="center" vertical="center"/>
    </xf>
    <xf numFmtId="0" fontId="16" fillId="37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4" fillId="37" borderId="0" xfId="0" applyFont="1" applyFill="1" applyBorder="1" applyAlignment="1" quotePrefix="1">
      <alignment horizontal="left" vertical="center"/>
    </xf>
    <xf numFmtId="0" fontId="8" fillId="37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0" fillId="0" borderId="0" xfId="0" applyFill="1" applyAlignment="1">
      <alignment shrinkToFit="1"/>
    </xf>
    <xf numFmtId="0" fontId="8" fillId="37" borderId="0" xfId="0" applyFont="1" applyFill="1" applyAlignment="1">
      <alignment vertical="center" shrinkToFit="1"/>
    </xf>
    <xf numFmtId="0" fontId="0" fillId="37" borderId="0" xfId="0" applyFill="1" applyAlignment="1">
      <alignment shrinkToFit="1"/>
    </xf>
    <xf numFmtId="0" fontId="22" fillId="0" borderId="0" xfId="0" applyFont="1" applyFill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17" fillId="38" borderId="16" xfId="0" applyFont="1" applyFill="1" applyBorder="1" applyAlignment="1">
      <alignment horizontal="center" vertical="center"/>
    </xf>
    <xf numFmtId="176" fontId="8" fillId="38" borderId="15" xfId="0" applyNumberFormat="1" applyFont="1" applyFill="1" applyBorder="1" applyAlignment="1">
      <alignment horizontal="center" vertical="center"/>
    </xf>
    <xf numFmtId="176" fontId="8" fillId="38" borderId="14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7" borderId="21" xfId="0" applyFill="1" applyBorder="1" applyAlignment="1">
      <alignment horizontal="center" vertical="center" shrinkToFit="1"/>
    </xf>
    <xf numFmtId="0" fontId="0" fillId="37" borderId="15" xfId="0" applyFill="1" applyBorder="1" applyAlignment="1">
      <alignment horizontal="center" vertical="center" shrinkToFit="1"/>
    </xf>
    <xf numFmtId="0" fontId="0" fillId="37" borderId="13" xfId="0" applyFill="1" applyBorder="1" applyAlignment="1">
      <alignment horizontal="center" vertical="center" shrinkToFit="1"/>
    </xf>
    <xf numFmtId="0" fontId="0" fillId="37" borderId="0" xfId="0" applyFill="1" applyBorder="1" applyAlignment="1">
      <alignment horizontal="center" vertical="center" shrinkToFit="1"/>
    </xf>
    <xf numFmtId="0" fontId="36" fillId="37" borderId="0" xfId="0" applyFont="1" applyFill="1" applyAlignment="1">
      <alignment/>
    </xf>
    <xf numFmtId="0" fontId="0" fillId="37" borderId="20" xfId="0" applyFill="1" applyBorder="1" applyAlignment="1">
      <alignment vertical="center" shrinkToFit="1"/>
    </xf>
    <xf numFmtId="0" fontId="0" fillId="37" borderId="14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8" fillId="39" borderId="0" xfId="0" applyFont="1" applyFill="1" applyAlignment="1">
      <alignment vertical="center"/>
    </xf>
    <xf numFmtId="0" fontId="8" fillId="39" borderId="0" xfId="0" applyFont="1" applyFill="1" applyBorder="1" applyAlignment="1">
      <alignment vertical="center"/>
    </xf>
    <xf numFmtId="0" fontId="22" fillId="39" borderId="0" xfId="0" applyFont="1" applyFill="1" applyBorder="1" applyAlignment="1">
      <alignment vertical="center"/>
    </xf>
    <xf numFmtId="0" fontId="30" fillId="39" borderId="0" xfId="0" applyFont="1" applyFill="1" applyBorder="1" applyAlignment="1" applyProtection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Border="1" applyAlignment="1" applyProtection="1">
      <alignment vertical="center"/>
      <protection/>
    </xf>
    <xf numFmtId="0" fontId="11" fillId="39" borderId="0" xfId="0" applyFont="1" applyFill="1" applyBorder="1" applyAlignment="1">
      <alignment vertical="center" shrinkToFit="1"/>
    </xf>
    <xf numFmtId="49" fontId="33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vertical="center"/>
    </xf>
    <xf numFmtId="0" fontId="4" fillId="37" borderId="12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0" fillId="39" borderId="0" xfId="0" applyFill="1" applyBorder="1" applyAlignment="1">
      <alignment vertical="center" shrinkToFit="1"/>
    </xf>
    <xf numFmtId="0" fontId="0" fillId="39" borderId="0" xfId="0" applyFill="1" applyBorder="1" applyAlignment="1">
      <alignment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225"/>
          <c:w val="0.911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'計算'!$AX$105:$AX$148</c:f>
              <c:numCache>
                <c:ptCount val="44"/>
                <c:pt idx="0">
                  <c:v>0</c:v>
                </c:pt>
                <c:pt idx="1">
                  <c:v>9.2</c:v>
                </c:pt>
                <c:pt idx="2">
                  <c:v>9.2</c:v>
                </c:pt>
                <c:pt idx="3">
                  <c:v>9.2</c:v>
                </c:pt>
                <c:pt idx="4">
                  <c:v>9.2</c:v>
                </c:pt>
                <c:pt idx="5">
                  <c:v>9.2</c:v>
                </c:pt>
                <c:pt idx="6">
                  <c:v>9.2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'計算'!$AY$104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'計算'!$AY$105:$AY$148</c:f>
              <c:numCache>
                <c:ptCount val="44"/>
                <c:pt idx="11">
                  <c:v>0</c:v>
                </c:pt>
                <c:pt idx="12">
                  <c:v>9.2</c:v>
                </c:pt>
                <c:pt idx="13">
                  <c:v>9.2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'計算'!$AZ$105:$AZ$148</c:f>
              <c:numCache>
                <c:ptCount val="44"/>
                <c:pt idx="14">
                  <c:v>9.2</c:v>
                </c:pt>
                <c:pt idx="15">
                  <c:v>9.2</c:v>
                </c:pt>
                <c:pt idx="16">
                  <c:v>9.2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'計算'!$BA$104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'計算'!$BA$105:$BA$148</c:f>
              <c:numCache>
                <c:ptCount val="44"/>
                <c:pt idx="19">
                  <c:v>0</c:v>
                </c:pt>
                <c:pt idx="20">
                  <c:v>-2.5652</c:v>
                </c:pt>
                <c:pt idx="21">
                  <c:v>-0.1431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'計算'!$BB$104</c:f>
              <c:strCache>
                <c:ptCount val="1"/>
                <c:pt idx="0">
                  <c:v>自重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'計算'!$BB$105:$BB$148</c:f>
              <c:numCache>
                <c:ptCount val="44"/>
                <c:pt idx="23">
                  <c:v>3.41</c:v>
                </c:pt>
                <c:pt idx="24">
                  <c:v>-0.35599999999999987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'計算'!$BC$104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'計算'!$BC$105:$BC$148</c:f>
              <c:numCache>
                <c:ptCount val="44"/>
                <c:pt idx="25">
                  <c:v>3.41</c:v>
                </c:pt>
                <c:pt idx="26">
                  <c:v>3.41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'計算'!$BD$104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'計算'!$BD$105:$BD$148</c:f>
              <c:numCache>
                <c:ptCount val="44"/>
                <c:pt idx="27">
                  <c:v>3.07</c:v>
                </c:pt>
                <c:pt idx="28">
                  <c:v>3.5831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'計算'!$BE$105:$BE$148</c:f>
              <c:numCache>
                <c:ptCount val="44"/>
                <c:pt idx="29">
                  <c:v>9.2</c:v>
                </c:pt>
                <c:pt idx="30">
                  <c:v>9.2</c:v>
                </c:pt>
                <c:pt idx="31">
                  <c:v>9.2</c:v>
                </c:pt>
                <c:pt idx="32">
                  <c:v>9.2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'計算'!$BF$105:$BF$148</c:f>
              <c:numCache>
                <c:ptCount val="44"/>
                <c:pt idx="33">
                  <c:v>9.2</c:v>
                </c:pt>
                <c:pt idx="34">
                  <c:v>9.2</c:v>
                </c:pt>
                <c:pt idx="35">
                  <c:v>9.2</c:v>
                </c:pt>
                <c:pt idx="36">
                  <c:v>9.2</c:v>
                </c:pt>
                <c:pt idx="37">
                  <c:v>9.2</c:v>
                </c:pt>
                <c:pt idx="38">
                  <c:v>9.2</c:v>
                </c:pt>
                <c:pt idx="39">
                  <c:v>9.2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'計算'!$BG$105:$BG$148</c:f>
              <c:numCache>
                <c:ptCount val="44"/>
                <c:pt idx="40">
                  <c:v>9.2</c:v>
                </c:pt>
                <c:pt idx="41">
                  <c:v>9.2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'計算'!$BH$104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3.6799999999999997</c:v>
                </c:pt>
                <c:pt idx="2">
                  <c:v>4.08</c:v>
                </c:pt>
                <c:pt idx="3">
                  <c:v>4.08</c:v>
                </c:pt>
                <c:pt idx="4">
                  <c:v>11.422114769064372</c:v>
                </c:pt>
                <c:pt idx="5">
                  <c:v>4.08</c:v>
                </c:pt>
                <c:pt idx="6">
                  <c:v>4.08</c:v>
                </c:pt>
                <c:pt idx="7">
                  <c:v>3.16</c:v>
                </c:pt>
                <c:pt idx="8">
                  <c:v>0</c:v>
                </c:pt>
                <c:pt idx="9">
                  <c:v>3.6799999999999997</c:v>
                </c:pt>
                <c:pt idx="10">
                  <c:v>3.6799999999999997</c:v>
                </c:pt>
                <c:pt idx="11">
                  <c:v>3.16</c:v>
                </c:pt>
                <c:pt idx="12">
                  <c:v>9.844191257649321</c:v>
                </c:pt>
                <c:pt idx="13">
                  <c:v>9.844191257649321</c:v>
                </c:pt>
                <c:pt idx="14">
                  <c:v>4.08</c:v>
                </c:pt>
                <c:pt idx="15">
                  <c:v>4.08</c:v>
                </c:pt>
                <c:pt idx="16">
                  <c:v>11.422114769064372</c:v>
                </c:pt>
                <c:pt idx="19">
                  <c:v>0</c:v>
                </c:pt>
                <c:pt idx="20">
                  <c:v>0</c:v>
                </c:pt>
                <c:pt idx="21">
                  <c:v>3.16</c:v>
                </c:pt>
                <c:pt idx="22">
                  <c:v>3.16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2.43</c:v>
                </c:pt>
                <c:pt idx="27">
                  <c:v>3.47</c:v>
                </c:pt>
                <c:pt idx="28">
                  <c:v>5.4846</c:v>
                </c:pt>
                <c:pt idx="29">
                  <c:v>3.83</c:v>
                </c:pt>
                <c:pt idx="30">
                  <c:v>3.83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4.03</c:v>
                </c:pt>
                <c:pt idx="35">
                  <c:v>4.03</c:v>
                </c:pt>
                <c:pt idx="36">
                  <c:v>3.93</c:v>
                </c:pt>
                <c:pt idx="37">
                  <c:v>4.03</c:v>
                </c:pt>
                <c:pt idx="38">
                  <c:v>4.03</c:v>
                </c:pt>
                <c:pt idx="39">
                  <c:v>3.93</c:v>
                </c:pt>
                <c:pt idx="40">
                  <c:v>3.93</c:v>
                </c:pt>
                <c:pt idx="41">
                  <c:v>4.03</c:v>
                </c:pt>
                <c:pt idx="42">
                  <c:v>1.109</c:v>
                </c:pt>
                <c:pt idx="43">
                  <c:v>3.1236</c:v>
                </c:pt>
              </c:numCache>
            </c:numRef>
          </c:xVal>
          <c:yVal>
            <c:numRef>
              <c:f>'計算'!$BH$105:$BH$148</c:f>
              <c:numCache>
                <c:ptCount val="44"/>
                <c:pt idx="42">
                  <c:v>0</c:v>
                </c:pt>
                <c:pt idx="43">
                  <c:v>4.279100000000001</c:v>
                </c:pt>
              </c:numCache>
            </c:numRef>
          </c:yVal>
          <c:smooth val="0"/>
        </c:ser>
        <c:axId val="16923496"/>
        <c:axId val="18093737"/>
      </c:scatterChart>
      <c:valAx>
        <c:axId val="1692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3737"/>
        <c:crosses val="autoZero"/>
        <c:crossBetween val="midCat"/>
        <c:dispUnits/>
      </c:valAx>
      <c:valAx>
        <c:axId val="18093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"/>
          <c:w val="0.702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'計算'!$D$406</c:f>
              <c:strCache>
                <c:ptCount val="1"/>
                <c:pt idx="0">
                  <c:v>前面σz1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'計算'!$B$408:$B$428</c:f>
              <c:numCache>
                <c:ptCount val="21"/>
                <c:pt idx="0">
                  <c:v>0</c:v>
                </c:pt>
                <c:pt idx="1">
                  <c:v>0.45999999999999996</c:v>
                </c:pt>
                <c:pt idx="2">
                  <c:v>0.9199999999999999</c:v>
                </c:pt>
                <c:pt idx="3">
                  <c:v>1.38</c:v>
                </c:pt>
                <c:pt idx="4">
                  <c:v>1.8399999999999999</c:v>
                </c:pt>
                <c:pt idx="5">
                  <c:v>2.3</c:v>
                </c:pt>
                <c:pt idx="6">
                  <c:v>2.76</c:v>
                </c:pt>
                <c:pt idx="7">
                  <c:v>3.2199999999999998</c:v>
                </c:pt>
                <c:pt idx="8">
                  <c:v>3.6799999999999997</c:v>
                </c:pt>
                <c:pt idx="9">
                  <c:v>4.14</c:v>
                </c:pt>
                <c:pt idx="10">
                  <c:v>4.6</c:v>
                </c:pt>
                <c:pt idx="11">
                  <c:v>5.06</c:v>
                </c:pt>
                <c:pt idx="12">
                  <c:v>5.52</c:v>
                </c:pt>
                <c:pt idx="13">
                  <c:v>5.9799999999999995</c:v>
                </c:pt>
                <c:pt idx="14">
                  <c:v>6.4399999999999995</c:v>
                </c:pt>
                <c:pt idx="15">
                  <c:v>6.8999999999999995</c:v>
                </c:pt>
                <c:pt idx="16">
                  <c:v>7.359999999999999</c:v>
                </c:pt>
                <c:pt idx="17">
                  <c:v>7.819999999999999</c:v>
                </c:pt>
                <c:pt idx="18">
                  <c:v>8.28</c:v>
                </c:pt>
                <c:pt idx="19">
                  <c:v>8.739999999999998</c:v>
                </c:pt>
                <c:pt idx="20">
                  <c:v>9.2</c:v>
                </c:pt>
              </c:numCache>
            </c:numRef>
          </c:xVal>
          <c:yVal>
            <c:numRef>
              <c:f>'計算'!$D$408:$D$428</c:f>
              <c:numCache>
                <c:ptCount val="21"/>
                <c:pt idx="0">
                  <c:v>0</c:v>
                </c:pt>
                <c:pt idx="1">
                  <c:v>0.004681879619914188</c:v>
                </c:pt>
                <c:pt idx="2">
                  <c:v>0.0075078002268496626</c:v>
                </c:pt>
                <c:pt idx="3">
                  <c:v>0.012558335157069842</c:v>
                </c:pt>
                <c:pt idx="4">
                  <c:v>0.019992928782143808</c:v>
                </c:pt>
                <c:pt idx="5">
                  <c:v>0.029391857216259677</c:v>
                </c:pt>
                <c:pt idx="6">
                  <c:v>0.040330242445006444</c:v>
                </c:pt>
                <c:pt idx="7">
                  <c:v>0.052468670540510146</c:v>
                </c:pt>
                <c:pt idx="8">
                  <c:v>0.06554991273129347</c:v>
                </c:pt>
                <c:pt idx="9">
                  <c:v>0.07938070446706998</c:v>
                </c:pt>
                <c:pt idx="10">
                  <c:v>0.09381499950746047</c:v>
                </c:pt>
                <c:pt idx="11">
                  <c:v>0.10874122838932791</c:v>
                </c:pt>
                <c:pt idx="12">
                  <c:v>0.12407309330544472</c:v>
                </c:pt>
                <c:pt idx="13">
                  <c:v>0.1397430003968733</c:v>
                </c:pt>
                <c:pt idx="14">
                  <c:v>0.15569736296234907</c:v>
                </c:pt>
                <c:pt idx="15">
                  <c:v>0.1718932141077098</c:v>
                </c:pt>
                <c:pt idx="16">
                  <c:v>0.18829573679299194</c:v>
                </c:pt>
                <c:pt idx="17">
                  <c:v>0.2048764413510881</c:v>
                </c:pt>
                <c:pt idx="18">
                  <c:v>0.22161180463520386</c:v>
                </c:pt>
                <c:pt idx="19">
                  <c:v>0.2384822420267821</c:v>
                </c:pt>
                <c:pt idx="20">
                  <c:v>0.2554713222437143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'計算'!$E$406</c:f>
              <c:strCache>
                <c:ptCount val="1"/>
                <c:pt idx="0">
                  <c:v>背面σz2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'計算'!$B$408:$B$428</c:f>
              <c:numCache>
                <c:ptCount val="21"/>
                <c:pt idx="0">
                  <c:v>0</c:v>
                </c:pt>
                <c:pt idx="1">
                  <c:v>0.45999999999999996</c:v>
                </c:pt>
                <c:pt idx="2">
                  <c:v>0.9199999999999999</c:v>
                </c:pt>
                <c:pt idx="3">
                  <c:v>1.38</c:v>
                </c:pt>
                <c:pt idx="4">
                  <c:v>1.8399999999999999</c:v>
                </c:pt>
                <c:pt idx="5">
                  <c:v>2.3</c:v>
                </c:pt>
                <c:pt idx="6">
                  <c:v>2.76</c:v>
                </c:pt>
                <c:pt idx="7">
                  <c:v>3.2199999999999998</c:v>
                </c:pt>
                <c:pt idx="8">
                  <c:v>3.6799999999999997</c:v>
                </c:pt>
                <c:pt idx="9">
                  <c:v>4.14</c:v>
                </c:pt>
                <c:pt idx="10">
                  <c:v>4.6</c:v>
                </c:pt>
                <c:pt idx="11">
                  <c:v>5.06</c:v>
                </c:pt>
                <c:pt idx="12">
                  <c:v>5.52</c:v>
                </c:pt>
                <c:pt idx="13">
                  <c:v>5.9799999999999995</c:v>
                </c:pt>
                <c:pt idx="14">
                  <c:v>6.4399999999999995</c:v>
                </c:pt>
                <c:pt idx="15">
                  <c:v>6.8999999999999995</c:v>
                </c:pt>
                <c:pt idx="16">
                  <c:v>7.359999999999999</c:v>
                </c:pt>
                <c:pt idx="17">
                  <c:v>7.819999999999999</c:v>
                </c:pt>
                <c:pt idx="18">
                  <c:v>8.28</c:v>
                </c:pt>
                <c:pt idx="19">
                  <c:v>8.739999999999998</c:v>
                </c:pt>
                <c:pt idx="20">
                  <c:v>9.2</c:v>
                </c:pt>
              </c:numCache>
            </c:numRef>
          </c:xVal>
          <c:yVal>
            <c:numRef>
              <c:f>'計算'!$E$408:$E$428</c:f>
              <c:numCache>
                <c:ptCount val="21"/>
                <c:pt idx="0">
                  <c:v>0</c:v>
                </c:pt>
                <c:pt idx="1">
                  <c:v>0.014241155694692356</c:v>
                </c:pt>
                <c:pt idx="2">
                  <c:v>0.0276909749166907</c:v>
                </c:pt>
                <c:pt idx="3">
                  <c:v>0.03761529751286245</c:v>
                </c:pt>
                <c:pt idx="4">
                  <c:v>0.04442039893648345</c:v>
                </c:pt>
                <c:pt idx="5">
                  <c:v>0.04880522992269264</c:v>
                </c:pt>
                <c:pt idx="6">
                  <c:v>0.05134837968308766</c:v>
                </c:pt>
                <c:pt idx="7">
                  <c:v>0.05248085871546186</c:v>
                </c:pt>
                <c:pt idx="8">
                  <c:v>0.0525178744711883</c:v>
                </c:pt>
                <c:pt idx="9">
                  <c:v>0.051691179174783865</c:v>
                </c:pt>
                <c:pt idx="10">
                  <c:v>0.05017337123738903</c:v>
                </c:pt>
                <c:pt idx="11">
                  <c:v>0.048094930583694434</c:v>
                </c:pt>
                <c:pt idx="12">
                  <c:v>0.045555988354671215</c:v>
                </c:pt>
                <c:pt idx="13">
                  <c:v>0.04263449134180328</c:v>
                </c:pt>
                <c:pt idx="14">
                  <c:v>0.03939192857051157</c:v>
                </c:pt>
                <c:pt idx="15">
                  <c:v>0.035877403233635266</c:v>
                </c:pt>
                <c:pt idx="16">
                  <c:v>0.03213056988267154</c:v>
                </c:pt>
                <c:pt idx="17">
                  <c:v>0.028183783261313593</c:v>
                </c:pt>
                <c:pt idx="18">
                  <c:v>0.02406369181406666</c:v>
                </c:pt>
                <c:pt idx="19">
                  <c:v>0.01979243458878844</c:v>
                </c:pt>
                <c:pt idx="20">
                  <c:v>0.015388551080123875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'計算'!$H$406</c:f>
              <c:strCache>
                <c:ptCount val="1"/>
                <c:pt idx="0">
                  <c:v>σta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'計算'!$B$408:$B$428</c:f>
              <c:numCache>
                <c:ptCount val="21"/>
                <c:pt idx="0">
                  <c:v>0</c:v>
                </c:pt>
                <c:pt idx="1">
                  <c:v>0.45999999999999996</c:v>
                </c:pt>
                <c:pt idx="2">
                  <c:v>0.9199999999999999</c:v>
                </c:pt>
                <c:pt idx="3">
                  <c:v>1.38</c:v>
                </c:pt>
                <c:pt idx="4">
                  <c:v>1.8399999999999999</c:v>
                </c:pt>
                <c:pt idx="5">
                  <c:v>2.3</c:v>
                </c:pt>
                <c:pt idx="6">
                  <c:v>2.76</c:v>
                </c:pt>
                <c:pt idx="7">
                  <c:v>3.2199999999999998</c:v>
                </c:pt>
                <c:pt idx="8">
                  <c:v>3.6799999999999997</c:v>
                </c:pt>
                <c:pt idx="9">
                  <c:v>4.14</c:v>
                </c:pt>
                <c:pt idx="10">
                  <c:v>4.6</c:v>
                </c:pt>
                <c:pt idx="11">
                  <c:v>5.06</c:v>
                </c:pt>
                <c:pt idx="12">
                  <c:v>5.52</c:v>
                </c:pt>
                <c:pt idx="13">
                  <c:v>5.9799999999999995</c:v>
                </c:pt>
                <c:pt idx="14">
                  <c:v>6.4399999999999995</c:v>
                </c:pt>
                <c:pt idx="15">
                  <c:v>6.8999999999999995</c:v>
                </c:pt>
                <c:pt idx="16">
                  <c:v>7.359999999999999</c:v>
                </c:pt>
                <c:pt idx="17">
                  <c:v>7.819999999999999</c:v>
                </c:pt>
                <c:pt idx="18">
                  <c:v>8.28</c:v>
                </c:pt>
                <c:pt idx="19">
                  <c:v>8.739999999999998</c:v>
                </c:pt>
                <c:pt idx="20">
                  <c:v>9.2</c:v>
                </c:pt>
              </c:numCache>
            </c:numRef>
          </c:xVal>
          <c:yVal>
            <c:numRef>
              <c:f>'計算'!$H$408:$H$428</c:f>
              <c:numCache>
                <c:ptCount val="21"/>
                <c:pt idx="0">
                  <c:v>-0.225</c:v>
                </c:pt>
                <c:pt idx="1">
                  <c:v>-0.225</c:v>
                </c:pt>
                <c:pt idx="2">
                  <c:v>-0.225</c:v>
                </c:pt>
                <c:pt idx="3">
                  <c:v>-0.225</c:v>
                </c:pt>
                <c:pt idx="4">
                  <c:v>-0.225</c:v>
                </c:pt>
                <c:pt idx="5">
                  <c:v>-0.225</c:v>
                </c:pt>
                <c:pt idx="6">
                  <c:v>-0.225</c:v>
                </c:pt>
                <c:pt idx="7">
                  <c:v>-0.225</c:v>
                </c:pt>
                <c:pt idx="8">
                  <c:v>-0.225</c:v>
                </c:pt>
                <c:pt idx="9">
                  <c:v>-0.225</c:v>
                </c:pt>
                <c:pt idx="10">
                  <c:v>-0.225</c:v>
                </c:pt>
                <c:pt idx="11">
                  <c:v>-0.225</c:v>
                </c:pt>
                <c:pt idx="12">
                  <c:v>-0.225</c:v>
                </c:pt>
                <c:pt idx="13">
                  <c:v>-0.225</c:v>
                </c:pt>
                <c:pt idx="14">
                  <c:v>-0.225</c:v>
                </c:pt>
                <c:pt idx="15">
                  <c:v>-0.225</c:v>
                </c:pt>
                <c:pt idx="16">
                  <c:v>-0.225</c:v>
                </c:pt>
                <c:pt idx="17">
                  <c:v>-0.225</c:v>
                </c:pt>
                <c:pt idx="18">
                  <c:v>-0.225</c:v>
                </c:pt>
                <c:pt idx="19">
                  <c:v>-0.225</c:v>
                </c:pt>
                <c:pt idx="20">
                  <c:v>-0.225</c:v>
                </c:pt>
              </c:numCache>
            </c:numRef>
          </c:yVal>
          <c:smooth val="0"/>
        </c:ser>
        <c:axId val="28625906"/>
        <c:axId val="56306563"/>
      </c:scatterChart>
      <c:val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擁壁天端からの深さ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z(m)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306563"/>
        <c:crosses val="autoZero"/>
        <c:crossBetween val="midCat"/>
        <c:dispUnits/>
      </c:val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曲げ応力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(N/mm</a:t>
                </a:r>
                <a:r>
                  <a:rPr lang="en-US" cap="none" sz="95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6259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0275"/>
          <c:w val="0.2015"/>
          <c:h val="0.223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75"/>
          <c:y val="0"/>
          <c:w val="0.759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'計算'!$F$127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'計算'!$B$128:$B$136</c:f>
              <c:numCache/>
            </c:numRef>
          </c:cat>
          <c:val>
            <c:numRef>
              <c:f>'計算'!$F$128:$F$136</c:f>
              <c:numCache/>
            </c:numRef>
          </c:val>
          <c:smooth val="0"/>
        </c:ser>
        <c:dropLines>
          <c:spPr>
            <a:ln w="12700">
              <a:solidFill>
                <a:srgbClr val="000000"/>
              </a:solidFill>
            </a:ln>
          </c:spPr>
        </c:dropLines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すべり角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37725"/>
        <c:crosses val="autoZero"/>
        <c:auto val="0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1" u="none" baseline="-25000">
                    <a:solidFill>
                      <a:srgbClr val="000000"/>
                    </a:solidFill>
                  </a:rPr>
                  <a:t>A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(kM/m)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70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896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'計算'!$AX$105:$AX$148</c:f>
              <c:numCache/>
            </c:numRef>
          </c:yVal>
          <c:smooth val="0"/>
        </c:ser>
        <c:ser>
          <c:idx val="1"/>
          <c:order val="1"/>
          <c:tx>
            <c:strRef>
              <c:f>'計算'!$AY$104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'計算'!$AY$105:$AY$148</c:f>
              <c:numCache/>
            </c:numRef>
          </c:yVal>
          <c:smooth val="0"/>
        </c:ser>
        <c:ser>
          <c:idx val="2"/>
          <c:order val="2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'計算'!$AZ$105:$AZ$148</c:f>
              <c:numCache/>
            </c:numRef>
          </c:yVal>
          <c:smooth val="0"/>
        </c:ser>
        <c:ser>
          <c:idx val="3"/>
          <c:order val="3"/>
          <c:tx>
            <c:strRef>
              <c:f>'計算'!$BA$104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'計算'!$BA$105:$BA$148</c:f>
              <c:numCache/>
            </c:numRef>
          </c:yVal>
          <c:smooth val="0"/>
        </c:ser>
        <c:ser>
          <c:idx val="4"/>
          <c:order val="4"/>
          <c:tx>
            <c:strRef>
              <c:f>'計算'!$BB$104</c:f>
              <c:strCache>
                <c:ptCount val="1"/>
                <c:pt idx="0">
                  <c:v>自重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'計算'!$AW$105:$AW$148</c:f>
              <c:numCache/>
            </c:numRef>
          </c:xVal>
          <c:yVal>
            <c:numRef>
              <c:f>'計算'!$BB$105:$BB$148</c:f>
              <c:numCache/>
            </c:numRef>
          </c:yVal>
          <c:smooth val="0"/>
        </c:ser>
        <c:ser>
          <c:idx val="5"/>
          <c:order val="5"/>
          <c:tx>
            <c:strRef>
              <c:f>'計算'!$BC$104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'計算'!$BC$105:$BC$148</c:f>
              <c:numCache/>
            </c:numRef>
          </c:yVal>
          <c:smooth val="0"/>
        </c:ser>
        <c:ser>
          <c:idx val="6"/>
          <c:order val="6"/>
          <c:tx>
            <c:strRef>
              <c:f>'計算'!$BD$104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'計算'!$BD$105:$BD$148</c:f>
              <c:numCache/>
            </c:numRef>
          </c:yVal>
          <c:smooth val="0"/>
        </c:ser>
        <c:ser>
          <c:idx val="7"/>
          <c:order val="7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'計算'!$BE$105:$BE$148</c:f>
              <c:numCache/>
            </c:numRef>
          </c:yVal>
          <c:smooth val="0"/>
        </c:ser>
        <c:ser>
          <c:idx val="8"/>
          <c:order val="8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'計算'!$BF$105:$BF$148</c:f>
              <c:numCache/>
            </c:numRef>
          </c:yVal>
          <c:smooth val="0"/>
        </c:ser>
        <c:ser>
          <c:idx val="9"/>
          <c:order val="9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'計算'!$BG$105:$BG$148</c:f>
              <c:numCache/>
            </c:numRef>
          </c:yVal>
          <c:smooth val="0"/>
        </c:ser>
        <c:ser>
          <c:idx val="10"/>
          <c:order val="10"/>
          <c:tx>
            <c:strRef>
              <c:f>'計算'!$BH$104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'計算'!$BH$105:$BH$148</c:f>
              <c:numCache/>
            </c:numRef>
          </c:yVal>
          <c:smooth val="0"/>
        </c:ser>
        <c:axId val="43968614"/>
        <c:axId val="60173207"/>
      </c:scatterChart>
      <c:val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73207"/>
        <c:crosses val="autoZero"/>
        <c:crossBetween val="midCat"/>
        <c:dispUnits/>
      </c:valAx>
      <c:valAx>
        <c:axId val="60173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圧縮応力と引張応力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45"/>
          <c:w val="0.68175"/>
          <c:h val="0.7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'計算'!$D$406</c:f>
              <c:strCache>
                <c:ptCount val="1"/>
                <c:pt idx="0">
                  <c:v>前面σz1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'計算'!$B$408:$B$428</c:f>
              <c:numCache/>
            </c:numRef>
          </c:xVal>
          <c:yVal>
            <c:numRef>
              <c:f>'計算'!$D$408:$D$428</c:f>
              <c:numCache/>
            </c:numRef>
          </c:yVal>
          <c:smooth val="0"/>
        </c:ser>
        <c:ser>
          <c:idx val="1"/>
          <c:order val="1"/>
          <c:tx>
            <c:strRef>
              <c:f>'計算'!$E$406</c:f>
              <c:strCache>
                <c:ptCount val="1"/>
                <c:pt idx="0">
                  <c:v>背面σz2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'計算'!$B$408:$B$428</c:f>
              <c:numCache/>
            </c:numRef>
          </c:xVal>
          <c:yVal>
            <c:numRef>
              <c:f>'計算'!$E$408:$E$428</c:f>
              <c:numCache/>
            </c:numRef>
          </c:yVal>
          <c:smooth val="0"/>
        </c:ser>
        <c:ser>
          <c:idx val="4"/>
          <c:order val="2"/>
          <c:tx>
            <c:strRef>
              <c:f>'計算'!$H$406</c:f>
              <c:strCache>
                <c:ptCount val="1"/>
                <c:pt idx="0">
                  <c:v>σta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'計算'!$B$408:$B$428</c:f>
              <c:numCache/>
            </c:numRef>
          </c:xVal>
          <c:yVal>
            <c:numRef>
              <c:f>'計算'!$H$408:$H$428</c:f>
              <c:numCache/>
            </c:numRef>
          </c:yVal>
          <c:smooth val="0"/>
        </c:ser>
        <c:axId val="4687952"/>
        <c:axId val="42191569"/>
      </c:scatterChart>
      <c:val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擁壁天端からの深さ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z(m)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191569"/>
        <c:crosses val="autoZero"/>
        <c:crossBetween val="midCat"/>
        <c:dispUnits/>
      </c:val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曲げ応力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(N/mm</a:t>
                </a:r>
                <a:r>
                  <a:rPr lang="en-US" cap="none" sz="105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879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348"/>
          <c:w val="0.2135"/>
          <c:h val="0.24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375"/>
          <c:w val="0.7035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'計算'!$AG$485</c:f>
              <c:strCache>
                <c:ptCount val="1"/>
                <c:pt idx="0">
                  <c:v>軸力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'計算'!$AF$486:$AF$506</c:f>
              <c:numCache/>
            </c:numRef>
          </c:xVal>
          <c:yVal>
            <c:numRef>
              <c:f>'計算'!$AG$486:$AG$506</c:f>
              <c:numCache/>
            </c:numRef>
          </c:yVal>
          <c:smooth val="0"/>
        </c:ser>
        <c:ser>
          <c:idx val="1"/>
          <c:order val="1"/>
          <c:tx>
            <c:strRef>
              <c:f>'計算'!$AH$485</c:f>
              <c:strCache>
                <c:ptCount val="1"/>
                <c:pt idx="0">
                  <c:v>せん断力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'計算'!$AF$486:$AF$506</c:f>
              <c:numCache/>
            </c:numRef>
          </c:xVal>
          <c:yVal>
            <c:numRef>
              <c:f>'計算'!$AH$486:$AH$506</c:f>
              <c:numCache/>
            </c:numRef>
          </c:yVal>
          <c:smooth val="0"/>
        </c:ser>
        <c:ser>
          <c:idx val="2"/>
          <c:order val="2"/>
          <c:tx>
            <c:strRef>
              <c:f>'計算'!$AI$485</c:f>
              <c:strCache>
                <c:ptCount val="1"/>
                <c:pt idx="0">
                  <c:v>曲げﾓｰﾒﾝﾄ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'計算'!$AF$486:$AF$506</c:f>
              <c:numCache/>
            </c:numRef>
          </c:xVal>
          <c:yVal>
            <c:numRef>
              <c:f>'計算'!$AI$486:$AI$506</c:f>
              <c:numCache/>
            </c:numRef>
          </c:yVal>
          <c:smooth val="0"/>
        </c:ser>
        <c:axId val="44179802"/>
        <c:axId val="62073899"/>
      </c:scatterChart>
      <c:val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天端からの深さ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z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73899"/>
        <c:crosses val="autoZero"/>
        <c:crossBetween val="midCat"/>
        <c:dispUnits/>
      </c:val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断面力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(kN, kN-m)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373"/>
          <c:w val="0.2655"/>
          <c:h val="0.2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"/>
          <c:w val="0.867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'計算'!$AX$105:$AX$148</c:f>
              <c:numCache/>
            </c:numRef>
          </c:yVal>
          <c:smooth val="0"/>
        </c:ser>
        <c:ser>
          <c:idx val="2"/>
          <c:order val="1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'計算'!$AZ$105:$AZ$148</c:f>
              <c:numCache/>
            </c:numRef>
          </c:yVal>
          <c:smooth val="0"/>
        </c:ser>
        <c:ser>
          <c:idx val="7"/>
          <c:order val="2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'計算'!$BE$105:$BE$148</c:f>
              <c:numCache/>
            </c:numRef>
          </c:yVal>
          <c:smooth val="0"/>
        </c:ser>
        <c:ser>
          <c:idx val="8"/>
          <c:order val="3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'計算'!$BF$105:$BF$148</c:f>
              <c:numCache/>
            </c:numRef>
          </c:yVal>
          <c:smooth val="0"/>
        </c:ser>
        <c:ser>
          <c:idx val="9"/>
          <c:order val="4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'計算'!$BG$105:$BG$148</c:f>
              <c:numCache/>
            </c:numRef>
          </c:yVal>
          <c:smooth val="0"/>
        </c:ser>
        <c:axId val="21794180"/>
        <c:axId val="61929893"/>
      </c:scatterChart>
      <c:valAx>
        <c:axId val="217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9893"/>
        <c:crosses val="autoZero"/>
        <c:crossBetween val="midCat"/>
        <c:dispUnits/>
      </c:valAx>
      <c:valAx>
        <c:axId val="61929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941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chart" Target="/xl/charts/chart3.xml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Relationship Id="rId15" Type="http://schemas.openxmlformats.org/officeDocument/2006/relationships/chart" Target="/xl/charts/chart4.xml" /><Relationship Id="rId16" Type="http://schemas.openxmlformats.org/officeDocument/2006/relationships/image" Target="../media/image25.emf" /><Relationship Id="rId17" Type="http://schemas.openxmlformats.org/officeDocument/2006/relationships/image" Target="../media/image26.emf" /><Relationship Id="rId18" Type="http://schemas.openxmlformats.org/officeDocument/2006/relationships/image" Target="../media/image27.emf" /><Relationship Id="rId19" Type="http://schemas.openxmlformats.org/officeDocument/2006/relationships/image" Target="../media/image28.emf" /><Relationship Id="rId20" Type="http://schemas.openxmlformats.org/officeDocument/2006/relationships/image" Target="../media/image29.emf" /><Relationship Id="rId21" Type="http://schemas.openxmlformats.org/officeDocument/2006/relationships/image" Target="../media/image30.emf" /><Relationship Id="rId22" Type="http://schemas.openxmlformats.org/officeDocument/2006/relationships/chart" Target="/xl/charts/chart5.xml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chart" Target="/xl/charts/chart6.xml" /><Relationship Id="rId26" Type="http://schemas.openxmlformats.org/officeDocument/2006/relationships/chart" Target="/xl/charts/chart7.xml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104775</xdr:rowOff>
    </xdr:from>
    <xdr:to>
      <xdr:col>10</xdr:col>
      <xdr:colOff>257175</xdr:colOff>
      <xdr:row>30</xdr:row>
      <xdr:rowOff>57150</xdr:rowOff>
    </xdr:to>
    <xdr:graphicFrame>
      <xdr:nvGraphicFramePr>
        <xdr:cNvPr id="1" name="グラフ 2"/>
        <xdr:cNvGraphicFramePr/>
      </xdr:nvGraphicFramePr>
      <xdr:xfrm>
        <a:off x="5162550" y="2962275"/>
        <a:ext cx="3667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95250</xdr:colOff>
      <xdr:row>5</xdr:row>
      <xdr:rowOff>104775</xdr:rowOff>
    </xdr:from>
    <xdr:to>
      <xdr:col>17</xdr:col>
      <xdr:colOff>495300</xdr:colOff>
      <xdr:row>15</xdr:row>
      <xdr:rowOff>200025</xdr:rowOff>
    </xdr:to>
    <xdr:graphicFrame>
      <xdr:nvGraphicFramePr>
        <xdr:cNvPr id="2" name="グラフ 3"/>
        <xdr:cNvGraphicFramePr/>
      </xdr:nvGraphicFramePr>
      <xdr:xfrm>
        <a:off x="9525000" y="1076325"/>
        <a:ext cx="5543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771525</xdr:colOff>
      <xdr:row>2</xdr:row>
      <xdr:rowOff>38100</xdr:rowOff>
    </xdr:from>
    <xdr:to>
      <xdr:col>11</xdr:col>
      <xdr:colOff>352425</xdr:colOff>
      <xdr:row>14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419100"/>
          <a:ext cx="47244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20</xdr:row>
      <xdr:rowOff>66675</xdr:rowOff>
    </xdr:from>
    <xdr:to>
      <xdr:col>4</xdr:col>
      <xdr:colOff>657225</xdr:colOff>
      <xdr:row>29</xdr:row>
      <xdr:rowOff>95250</xdr:rowOff>
    </xdr:to>
    <xdr:pic>
      <xdr:nvPicPr>
        <xdr:cNvPr id="1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638675"/>
          <a:ext cx="3714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137</xdr:row>
      <xdr:rowOff>219075</xdr:rowOff>
    </xdr:from>
    <xdr:to>
      <xdr:col>6</xdr:col>
      <xdr:colOff>581025</xdr:colOff>
      <xdr:row>148</xdr:row>
      <xdr:rowOff>190500</xdr:rowOff>
    </xdr:to>
    <xdr:graphicFrame>
      <xdr:nvGraphicFramePr>
        <xdr:cNvPr id="2" name="グラフ 43"/>
        <xdr:cNvGraphicFramePr/>
      </xdr:nvGraphicFramePr>
      <xdr:xfrm>
        <a:off x="981075" y="31537275"/>
        <a:ext cx="50958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438150</xdr:colOff>
      <xdr:row>66</xdr:row>
      <xdr:rowOff>219075</xdr:rowOff>
    </xdr:from>
    <xdr:to>
      <xdr:col>4</xdr:col>
      <xdr:colOff>600075</xdr:colOff>
      <xdr:row>68</xdr:row>
      <xdr:rowOff>38100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53066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68</xdr:row>
      <xdr:rowOff>161925</xdr:rowOff>
    </xdr:from>
    <xdr:to>
      <xdr:col>5</xdr:col>
      <xdr:colOff>581025</xdr:colOff>
      <xdr:row>70</xdr:row>
      <xdr:rowOff>133350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15706725"/>
          <a:ext cx="2047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70</xdr:row>
      <xdr:rowOff>123825</xdr:rowOff>
    </xdr:from>
    <xdr:to>
      <xdr:col>5</xdr:col>
      <xdr:colOff>466725</xdr:colOff>
      <xdr:row>72</xdr:row>
      <xdr:rowOff>133350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1612582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77</xdr:row>
      <xdr:rowOff>219075</xdr:rowOff>
    </xdr:from>
    <xdr:to>
      <xdr:col>6</xdr:col>
      <xdr:colOff>542925</xdr:colOff>
      <xdr:row>97</xdr:row>
      <xdr:rowOff>209550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7821275"/>
          <a:ext cx="46386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99</xdr:row>
      <xdr:rowOff>76200</xdr:rowOff>
    </xdr:from>
    <xdr:to>
      <xdr:col>6</xdr:col>
      <xdr:colOff>723900</xdr:colOff>
      <xdr:row>116</xdr:row>
      <xdr:rowOff>57150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22707600"/>
          <a:ext cx="48291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123</xdr:row>
      <xdr:rowOff>123825</xdr:rowOff>
    </xdr:from>
    <xdr:to>
      <xdr:col>3</xdr:col>
      <xdr:colOff>685800</xdr:colOff>
      <xdr:row>125</xdr:row>
      <xdr:rowOff>161925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28241625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75</xdr:row>
      <xdr:rowOff>133350</xdr:rowOff>
    </xdr:from>
    <xdr:to>
      <xdr:col>4</xdr:col>
      <xdr:colOff>504825</xdr:colOff>
      <xdr:row>79</xdr:row>
      <xdr:rowOff>85725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" y="17278350"/>
          <a:ext cx="2933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182</xdr:row>
      <xdr:rowOff>123825</xdr:rowOff>
    </xdr:from>
    <xdr:to>
      <xdr:col>5</xdr:col>
      <xdr:colOff>209550</xdr:colOff>
      <xdr:row>184</xdr:row>
      <xdr:rowOff>142875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417290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185</xdr:row>
      <xdr:rowOff>114300</xdr:rowOff>
    </xdr:from>
    <xdr:to>
      <xdr:col>4</xdr:col>
      <xdr:colOff>762000</xdr:colOff>
      <xdr:row>187</xdr:row>
      <xdr:rowOff>133350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424053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212</xdr:row>
      <xdr:rowOff>76200</xdr:rowOff>
    </xdr:from>
    <xdr:to>
      <xdr:col>3</xdr:col>
      <xdr:colOff>66675</xdr:colOff>
      <xdr:row>214</xdr:row>
      <xdr:rowOff>95250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4853940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227</xdr:row>
      <xdr:rowOff>104775</xdr:rowOff>
    </xdr:from>
    <xdr:to>
      <xdr:col>4</xdr:col>
      <xdr:colOff>9525</xdr:colOff>
      <xdr:row>229</xdr:row>
      <xdr:rowOff>123825</xdr:rowOff>
    </xdr:to>
    <xdr:pic>
      <xdr:nvPicPr>
        <xdr:cNvPr id="13" name="Picture 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14525" y="51996975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224</xdr:row>
      <xdr:rowOff>133350</xdr:rowOff>
    </xdr:from>
    <xdr:to>
      <xdr:col>4</xdr:col>
      <xdr:colOff>771525</xdr:colOff>
      <xdr:row>226</xdr:row>
      <xdr:rowOff>142875</xdr:rowOff>
    </xdr:to>
    <xdr:pic>
      <xdr:nvPicPr>
        <xdr:cNvPr id="14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90725" y="5133975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152400</xdr:colOff>
      <xdr:row>12</xdr:row>
      <xdr:rowOff>0</xdr:rowOff>
    </xdr:from>
    <xdr:to>
      <xdr:col>98</xdr:col>
      <xdr:colOff>114300</xdr:colOff>
      <xdr:row>12</xdr:row>
      <xdr:rowOff>0</xdr:rowOff>
    </xdr:to>
    <xdr:sp>
      <xdr:nvSpPr>
        <xdr:cNvPr id="15" name="Line 468"/>
        <xdr:cNvSpPr>
          <a:spLocks/>
        </xdr:cNvSpPr>
      </xdr:nvSpPr>
      <xdr:spPr>
        <a:xfrm>
          <a:off x="84724875" y="2743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771525</xdr:colOff>
      <xdr:row>2</xdr:row>
      <xdr:rowOff>133350</xdr:rowOff>
    </xdr:from>
    <xdr:to>
      <xdr:col>98</xdr:col>
      <xdr:colOff>771525</xdr:colOff>
      <xdr:row>4</xdr:row>
      <xdr:rowOff>0</xdr:rowOff>
    </xdr:to>
    <xdr:sp>
      <xdr:nvSpPr>
        <xdr:cNvPr id="16" name="Line 491"/>
        <xdr:cNvSpPr>
          <a:spLocks/>
        </xdr:cNvSpPr>
      </xdr:nvSpPr>
      <xdr:spPr>
        <a:xfrm flipV="1">
          <a:off x="86201250" y="590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314325</xdr:colOff>
      <xdr:row>6</xdr:row>
      <xdr:rowOff>152400</xdr:rowOff>
    </xdr:from>
    <xdr:to>
      <xdr:col>96</xdr:col>
      <xdr:colOff>314325</xdr:colOff>
      <xdr:row>8</xdr:row>
      <xdr:rowOff>123825</xdr:rowOff>
    </xdr:to>
    <xdr:sp>
      <xdr:nvSpPr>
        <xdr:cNvPr id="17" name="Line 485"/>
        <xdr:cNvSpPr>
          <a:spLocks/>
        </xdr:cNvSpPr>
      </xdr:nvSpPr>
      <xdr:spPr>
        <a:xfrm>
          <a:off x="84029550" y="15240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161925</xdr:colOff>
      <xdr:row>6</xdr:row>
      <xdr:rowOff>66675</xdr:rowOff>
    </xdr:from>
    <xdr:to>
      <xdr:col>99</xdr:col>
      <xdr:colOff>200025</xdr:colOff>
      <xdr:row>7</xdr:row>
      <xdr:rowOff>66675</xdr:rowOff>
    </xdr:to>
    <xdr:sp>
      <xdr:nvSpPr>
        <xdr:cNvPr id="18" name="Line 474"/>
        <xdr:cNvSpPr>
          <a:spLocks/>
        </xdr:cNvSpPr>
      </xdr:nvSpPr>
      <xdr:spPr>
        <a:xfrm>
          <a:off x="85591650" y="1438275"/>
          <a:ext cx="895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352425</xdr:colOff>
      <xdr:row>6</xdr:row>
      <xdr:rowOff>142875</xdr:rowOff>
    </xdr:from>
    <xdr:to>
      <xdr:col>96</xdr:col>
      <xdr:colOff>790575</xdr:colOff>
      <xdr:row>6</xdr:row>
      <xdr:rowOff>142875</xdr:rowOff>
    </xdr:to>
    <xdr:sp>
      <xdr:nvSpPr>
        <xdr:cNvPr id="19" name="Line 483"/>
        <xdr:cNvSpPr>
          <a:spLocks/>
        </xdr:cNvSpPr>
      </xdr:nvSpPr>
      <xdr:spPr>
        <a:xfrm>
          <a:off x="84067650" y="1514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371475</xdr:colOff>
      <xdr:row>6</xdr:row>
      <xdr:rowOff>19050</xdr:rowOff>
    </xdr:from>
    <xdr:to>
      <xdr:col>96</xdr:col>
      <xdr:colOff>733425</xdr:colOff>
      <xdr:row>6</xdr:row>
      <xdr:rowOff>142875</xdr:rowOff>
    </xdr:to>
    <xdr:sp>
      <xdr:nvSpPr>
        <xdr:cNvPr id="20" name="Arc 484"/>
        <xdr:cNvSpPr>
          <a:spLocks/>
        </xdr:cNvSpPr>
      </xdr:nvSpPr>
      <xdr:spPr>
        <a:xfrm>
          <a:off x="84086700" y="1390650"/>
          <a:ext cx="361950" cy="133350"/>
        </a:xfrm>
        <a:custGeom>
          <a:pathLst>
            <a:path fill="none" h="12168" w="21600">
              <a:moveTo>
                <a:pt x="17846" y="0"/>
              </a:moveTo>
              <a:cubicBezTo>
                <a:pt x="20292" y="3586"/>
                <a:pt x="21600" y="7827"/>
                <a:pt x="21600" y="12168"/>
              </a:cubicBezTo>
            </a:path>
            <a:path stroke="0" h="12168" w="21600">
              <a:moveTo>
                <a:pt x="17846" y="0"/>
              </a:moveTo>
              <a:cubicBezTo>
                <a:pt x="20292" y="3586"/>
                <a:pt x="21600" y="7827"/>
                <a:pt x="21600" y="12168"/>
              </a:cubicBezTo>
              <a:lnTo>
                <a:pt x="0" y="12168"/>
              </a:lnTo>
              <a:lnTo>
                <a:pt x="1784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0</xdr:colOff>
      <xdr:row>8</xdr:row>
      <xdr:rowOff>114300</xdr:rowOff>
    </xdr:from>
    <xdr:ext cx="228600" cy="190500"/>
    <xdr:sp>
      <xdr:nvSpPr>
        <xdr:cNvPr id="21" name="Text Box 487"/>
        <xdr:cNvSpPr txBox="1">
          <a:spLocks noChangeArrowheads="1"/>
        </xdr:cNvSpPr>
      </xdr:nvSpPr>
      <xdr:spPr>
        <a:xfrm>
          <a:off x="84572475" y="19431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α</a:t>
          </a:r>
        </a:p>
      </xdr:txBody>
    </xdr:sp>
    <xdr:clientData/>
  </xdr:oneCellAnchor>
  <xdr:oneCellAnchor>
    <xdr:from>
      <xdr:col>99</xdr:col>
      <xdr:colOff>0</xdr:colOff>
      <xdr:row>10</xdr:row>
      <xdr:rowOff>38100</xdr:rowOff>
    </xdr:from>
    <xdr:ext cx="247650" cy="190500"/>
    <xdr:sp>
      <xdr:nvSpPr>
        <xdr:cNvPr id="22" name="Text Box 477"/>
        <xdr:cNvSpPr txBox="1">
          <a:spLocks noChangeArrowheads="1"/>
        </xdr:cNvSpPr>
      </xdr:nvSpPr>
      <xdr:spPr>
        <a:xfrm>
          <a:off x="86286975" y="23241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Lc</a:t>
          </a:r>
        </a:p>
      </xdr:txBody>
    </xdr:sp>
    <xdr:clientData/>
  </xdr:oneCellAnchor>
  <xdr:oneCellAnchor>
    <xdr:from>
      <xdr:col>99</xdr:col>
      <xdr:colOff>152400</xdr:colOff>
      <xdr:row>4</xdr:row>
      <xdr:rowOff>190500</xdr:rowOff>
    </xdr:from>
    <xdr:ext cx="209550" cy="190500"/>
    <xdr:sp>
      <xdr:nvSpPr>
        <xdr:cNvPr id="23" name="Text Box 479"/>
        <xdr:cNvSpPr txBox="1">
          <a:spLocks noChangeArrowheads="1"/>
        </xdr:cNvSpPr>
      </xdr:nvSpPr>
      <xdr:spPr>
        <a:xfrm>
          <a:off x="86439375" y="11049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zc</a:t>
          </a:r>
        </a:p>
      </xdr:txBody>
    </xdr:sp>
    <xdr:clientData/>
  </xdr:oneCellAnchor>
  <xdr:twoCellAnchor>
    <xdr:from>
      <xdr:col>98</xdr:col>
      <xdr:colOff>114300</xdr:colOff>
      <xdr:row>4</xdr:row>
      <xdr:rowOff>38100</xdr:rowOff>
    </xdr:from>
    <xdr:to>
      <xdr:col>98</xdr:col>
      <xdr:colOff>114300</xdr:colOff>
      <xdr:row>6</xdr:row>
      <xdr:rowOff>76200</xdr:rowOff>
    </xdr:to>
    <xdr:sp>
      <xdr:nvSpPr>
        <xdr:cNvPr id="24" name="Line 465"/>
        <xdr:cNvSpPr>
          <a:spLocks/>
        </xdr:cNvSpPr>
      </xdr:nvSpPr>
      <xdr:spPr>
        <a:xfrm>
          <a:off x="85544025" y="952500"/>
          <a:ext cx="0" cy="495300"/>
        </a:xfrm>
        <a:prstGeom prst="line">
          <a:avLst/>
        </a:prstGeom>
        <a:noFill/>
        <a:ln w="9525" cmpd="sng">
          <a:solidFill>
            <a:srgbClr val="0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114300</xdr:colOff>
      <xdr:row>6</xdr:row>
      <xdr:rowOff>57150</xdr:rowOff>
    </xdr:from>
    <xdr:to>
      <xdr:col>98</xdr:col>
      <xdr:colOff>123825</xdr:colOff>
      <xdr:row>12</xdr:row>
      <xdr:rowOff>0</xdr:rowOff>
    </xdr:to>
    <xdr:sp>
      <xdr:nvSpPr>
        <xdr:cNvPr id="25" name="Line 466"/>
        <xdr:cNvSpPr>
          <a:spLocks/>
        </xdr:cNvSpPr>
      </xdr:nvSpPr>
      <xdr:spPr>
        <a:xfrm flipH="1">
          <a:off x="84686775" y="1428750"/>
          <a:ext cx="866775" cy="1314450"/>
        </a:xfrm>
        <a:prstGeom prst="line">
          <a:avLst/>
        </a:prstGeom>
        <a:noFill/>
        <a:ln w="9525" cmpd="sng">
          <a:solidFill>
            <a:srgbClr val="0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400050</xdr:colOff>
      <xdr:row>6</xdr:row>
      <xdr:rowOff>104775</xdr:rowOff>
    </xdr:from>
    <xdr:to>
      <xdr:col>95</xdr:col>
      <xdr:colOff>781050</xdr:colOff>
      <xdr:row>12</xdr:row>
      <xdr:rowOff>0</xdr:rowOff>
    </xdr:to>
    <xdr:sp>
      <xdr:nvSpPr>
        <xdr:cNvPr id="26" name="Line 455"/>
        <xdr:cNvSpPr>
          <a:spLocks/>
        </xdr:cNvSpPr>
      </xdr:nvSpPr>
      <xdr:spPr>
        <a:xfrm flipH="1">
          <a:off x="83258025" y="1476375"/>
          <a:ext cx="381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828675</xdr:colOff>
      <xdr:row>6</xdr:row>
      <xdr:rowOff>123825</xdr:rowOff>
    </xdr:from>
    <xdr:to>
      <xdr:col>96</xdr:col>
      <xdr:colOff>304800</xdr:colOff>
      <xdr:row>6</xdr:row>
      <xdr:rowOff>123825</xdr:rowOff>
    </xdr:to>
    <xdr:sp>
      <xdr:nvSpPr>
        <xdr:cNvPr id="27" name="Line 456"/>
        <xdr:cNvSpPr>
          <a:spLocks/>
        </xdr:cNvSpPr>
      </xdr:nvSpPr>
      <xdr:spPr>
        <a:xfrm>
          <a:off x="83686650" y="1495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314325</xdr:colOff>
      <xdr:row>6</xdr:row>
      <xdr:rowOff>133350</xdr:rowOff>
    </xdr:from>
    <xdr:to>
      <xdr:col>97</xdr:col>
      <xdr:colOff>95250</xdr:colOff>
      <xdr:row>11</xdr:row>
      <xdr:rowOff>219075</xdr:rowOff>
    </xdr:to>
    <xdr:sp>
      <xdr:nvSpPr>
        <xdr:cNvPr id="28" name="Line 457"/>
        <xdr:cNvSpPr>
          <a:spLocks/>
        </xdr:cNvSpPr>
      </xdr:nvSpPr>
      <xdr:spPr>
        <a:xfrm>
          <a:off x="84029550" y="1504950"/>
          <a:ext cx="6381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390525</xdr:colOff>
      <xdr:row>12</xdr:row>
      <xdr:rowOff>0</xdr:rowOff>
    </xdr:from>
    <xdr:to>
      <xdr:col>97</xdr:col>
      <xdr:colOff>104775</xdr:colOff>
      <xdr:row>12</xdr:row>
      <xdr:rowOff>0</xdr:rowOff>
    </xdr:to>
    <xdr:sp>
      <xdr:nvSpPr>
        <xdr:cNvPr id="29" name="Line 458"/>
        <xdr:cNvSpPr>
          <a:spLocks/>
        </xdr:cNvSpPr>
      </xdr:nvSpPr>
      <xdr:spPr>
        <a:xfrm flipH="1">
          <a:off x="83248500" y="2743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314325</xdr:colOff>
      <xdr:row>4</xdr:row>
      <xdr:rowOff>38100</xdr:rowOff>
    </xdr:from>
    <xdr:to>
      <xdr:col>98</xdr:col>
      <xdr:colOff>85725</xdr:colOff>
      <xdr:row>6</xdr:row>
      <xdr:rowOff>133350</xdr:rowOff>
    </xdr:to>
    <xdr:sp>
      <xdr:nvSpPr>
        <xdr:cNvPr id="30" name="Line 459"/>
        <xdr:cNvSpPr>
          <a:spLocks/>
        </xdr:cNvSpPr>
      </xdr:nvSpPr>
      <xdr:spPr>
        <a:xfrm flipV="1">
          <a:off x="84029550" y="952500"/>
          <a:ext cx="1485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95250</xdr:colOff>
      <xdr:row>4</xdr:row>
      <xdr:rowOff>28575</xdr:rowOff>
    </xdr:from>
    <xdr:to>
      <xdr:col>99</xdr:col>
      <xdr:colOff>457200</xdr:colOff>
      <xdr:row>4</xdr:row>
      <xdr:rowOff>28575</xdr:rowOff>
    </xdr:to>
    <xdr:sp>
      <xdr:nvSpPr>
        <xdr:cNvPr id="31" name="Line 460"/>
        <xdr:cNvSpPr>
          <a:spLocks/>
        </xdr:cNvSpPr>
      </xdr:nvSpPr>
      <xdr:spPr>
        <a:xfrm>
          <a:off x="85524975" y="942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85725</xdr:colOff>
      <xdr:row>2</xdr:row>
      <xdr:rowOff>133350</xdr:rowOff>
    </xdr:from>
    <xdr:to>
      <xdr:col>97</xdr:col>
      <xdr:colOff>85725</xdr:colOff>
      <xdr:row>11</xdr:row>
      <xdr:rowOff>209550</xdr:rowOff>
    </xdr:to>
    <xdr:sp>
      <xdr:nvSpPr>
        <xdr:cNvPr id="32" name="Line 462"/>
        <xdr:cNvSpPr>
          <a:spLocks/>
        </xdr:cNvSpPr>
      </xdr:nvSpPr>
      <xdr:spPr>
        <a:xfrm flipV="1">
          <a:off x="84658200" y="5905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114300</xdr:colOff>
      <xdr:row>2</xdr:row>
      <xdr:rowOff>104775</xdr:rowOff>
    </xdr:from>
    <xdr:to>
      <xdr:col>98</xdr:col>
      <xdr:colOff>114300</xdr:colOff>
      <xdr:row>4</xdr:row>
      <xdr:rowOff>19050</xdr:rowOff>
    </xdr:to>
    <xdr:sp>
      <xdr:nvSpPr>
        <xdr:cNvPr id="33" name="Line 463"/>
        <xdr:cNvSpPr>
          <a:spLocks/>
        </xdr:cNvSpPr>
      </xdr:nvSpPr>
      <xdr:spPr>
        <a:xfrm flipV="1">
          <a:off x="85544025" y="561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95250</xdr:colOff>
      <xdr:row>2</xdr:row>
      <xdr:rowOff>200025</xdr:rowOff>
    </xdr:from>
    <xdr:to>
      <xdr:col>98</xdr:col>
      <xdr:colOff>123825</xdr:colOff>
      <xdr:row>2</xdr:row>
      <xdr:rowOff>200025</xdr:rowOff>
    </xdr:to>
    <xdr:sp>
      <xdr:nvSpPr>
        <xdr:cNvPr id="34" name="Line 464"/>
        <xdr:cNvSpPr>
          <a:spLocks/>
        </xdr:cNvSpPr>
      </xdr:nvSpPr>
      <xdr:spPr>
        <a:xfrm>
          <a:off x="84667725" y="657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98</xdr:col>
      <xdr:colOff>0</xdr:colOff>
      <xdr:row>2</xdr:row>
      <xdr:rowOff>38100</xdr:rowOff>
    </xdr:from>
    <xdr:ext cx="447675" cy="190500"/>
    <xdr:sp>
      <xdr:nvSpPr>
        <xdr:cNvPr id="35" name="Text Box 467"/>
        <xdr:cNvSpPr txBox="1">
          <a:spLocks noChangeArrowheads="1"/>
        </xdr:cNvSpPr>
      </xdr:nvSpPr>
      <xdr:spPr>
        <a:xfrm>
          <a:off x="85429725" y="49530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shoul</a:t>
          </a:r>
        </a:p>
      </xdr:txBody>
    </xdr:sp>
    <xdr:clientData/>
  </xdr:oneCellAnchor>
  <xdr:twoCellAnchor>
    <xdr:from>
      <xdr:col>97</xdr:col>
      <xdr:colOff>85725</xdr:colOff>
      <xdr:row>9</xdr:row>
      <xdr:rowOff>180975</xdr:rowOff>
    </xdr:from>
    <xdr:to>
      <xdr:col>98</xdr:col>
      <xdr:colOff>76200</xdr:colOff>
      <xdr:row>12</xdr:row>
      <xdr:rowOff>19050</xdr:rowOff>
    </xdr:to>
    <xdr:sp>
      <xdr:nvSpPr>
        <xdr:cNvPr id="36" name="Arc 470"/>
        <xdr:cNvSpPr>
          <a:spLocks/>
        </xdr:cNvSpPr>
      </xdr:nvSpPr>
      <xdr:spPr>
        <a:xfrm>
          <a:off x="84658200" y="2238375"/>
          <a:ext cx="847725" cy="523875"/>
        </a:xfrm>
        <a:custGeom>
          <a:pathLst>
            <a:path fill="none" h="19493" w="21600">
              <a:moveTo>
                <a:pt x="9304" y="0"/>
              </a:moveTo>
              <a:cubicBezTo>
                <a:pt x="16816" y="3585"/>
                <a:pt x="21600" y="11169"/>
                <a:pt x="21600" y="19493"/>
              </a:cubicBezTo>
            </a:path>
            <a:path stroke="0" h="19493" w="21600">
              <a:moveTo>
                <a:pt x="9304" y="0"/>
              </a:moveTo>
              <a:cubicBezTo>
                <a:pt x="16816" y="3585"/>
                <a:pt x="21600" y="11169"/>
                <a:pt x="21600" y="19493"/>
              </a:cubicBezTo>
              <a:lnTo>
                <a:pt x="0" y="19493"/>
              </a:lnTo>
              <a:lnTo>
                <a:pt x="9304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190500</xdr:colOff>
      <xdr:row>6</xdr:row>
      <xdr:rowOff>66675</xdr:rowOff>
    </xdr:from>
    <xdr:to>
      <xdr:col>99</xdr:col>
      <xdr:colOff>180975</xdr:colOff>
      <xdr:row>6</xdr:row>
      <xdr:rowOff>66675</xdr:rowOff>
    </xdr:to>
    <xdr:sp>
      <xdr:nvSpPr>
        <xdr:cNvPr id="37" name="Line 472"/>
        <xdr:cNvSpPr>
          <a:spLocks/>
        </xdr:cNvSpPr>
      </xdr:nvSpPr>
      <xdr:spPr>
        <a:xfrm>
          <a:off x="85620225" y="1438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99</xdr:col>
      <xdr:colOff>76200</xdr:colOff>
      <xdr:row>4</xdr:row>
      <xdr:rowOff>28575</xdr:rowOff>
    </xdr:from>
    <xdr:to>
      <xdr:col>99</xdr:col>
      <xdr:colOff>76200</xdr:colOff>
      <xdr:row>6</xdr:row>
      <xdr:rowOff>66675</xdr:rowOff>
    </xdr:to>
    <xdr:sp>
      <xdr:nvSpPr>
        <xdr:cNvPr id="38" name="Line 473"/>
        <xdr:cNvSpPr>
          <a:spLocks/>
        </xdr:cNvSpPr>
      </xdr:nvSpPr>
      <xdr:spPr>
        <a:xfrm>
          <a:off x="86363175" y="9429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180975</xdr:colOff>
      <xdr:row>12</xdr:row>
      <xdr:rowOff>28575</xdr:rowOff>
    </xdr:from>
    <xdr:to>
      <xdr:col>98</xdr:col>
      <xdr:colOff>219075</xdr:colOff>
      <xdr:row>13</xdr:row>
      <xdr:rowOff>28575</xdr:rowOff>
    </xdr:to>
    <xdr:sp>
      <xdr:nvSpPr>
        <xdr:cNvPr id="39" name="Line 475"/>
        <xdr:cNvSpPr>
          <a:spLocks/>
        </xdr:cNvSpPr>
      </xdr:nvSpPr>
      <xdr:spPr>
        <a:xfrm>
          <a:off x="84753450" y="2771775"/>
          <a:ext cx="895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171450</xdr:colOff>
      <xdr:row>7</xdr:row>
      <xdr:rowOff>57150</xdr:rowOff>
    </xdr:from>
    <xdr:to>
      <xdr:col>99</xdr:col>
      <xdr:colOff>171450</xdr:colOff>
      <xdr:row>13</xdr:row>
      <xdr:rowOff>0</xdr:rowOff>
    </xdr:to>
    <xdr:sp>
      <xdr:nvSpPr>
        <xdr:cNvPr id="40" name="Line 476"/>
        <xdr:cNvSpPr>
          <a:spLocks/>
        </xdr:cNvSpPr>
      </xdr:nvSpPr>
      <xdr:spPr>
        <a:xfrm flipH="1">
          <a:off x="85601175" y="1657350"/>
          <a:ext cx="8572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98</xdr:col>
      <xdr:colOff>0</xdr:colOff>
      <xdr:row>9</xdr:row>
      <xdr:rowOff>114300</xdr:rowOff>
    </xdr:from>
    <xdr:ext cx="323850" cy="190500"/>
    <xdr:sp>
      <xdr:nvSpPr>
        <xdr:cNvPr id="41" name="Text Box 478"/>
        <xdr:cNvSpPr txBox="1">
          <a:spLocks noChangeArrowheads="1"/>
        </xdr:cNvSpPr>
      </xdr:nvSpPr>
      <xdr:spPr>
        <a:xfrm>
          <a:off x="85429725" y="21717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ω0</a:t>
          </a:r>
        </a:p>
      </xdr:txBody>
    </xdr:sp>
    <xdr:clientData/>
  </xdr:oneCellAnchor>
  <xdr:twoCellAnchor>
    <xdr:from>
      <xdr:col>97</xdr:col>
      <xdr:colOff>95250</xdr:colOff>
      <xdr:row>11</xdr:row>
      <xdr:rowOff>38100</xdr:rowOff>
    </xdr:from>
    <xdr:to>
      <xdr:col>97</xdr:col>
      <xdr:colOff>542925</xdr:colOff>
      <xdr:row>12</xdr:row>
      <xdr:rowOff>38100</xdr:rowOff>
    </xdr:to>
    <xdr:sp>
      <xdr:nvSpPr>
        <xdr:cNvPr id="42" name="Arc 481"/>
        <xdr:cNvSpPr>
          <a:spLocks/>
        </xdr:cNvSpPr>
      </xdr:nvSpPr>
      <xdr:spPr>
        <a:xfrm>
          <a:off x="84667725" y="2552700"/>
          <a:ext cx="447675" cy="228600"/>
        </a:xfrm>
        <a:custGeom>
          <a:pathLst>
            <a:path fill="none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</a:path>
            <a:path stroke="0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  <a:lnTo>
                <a:pt x="0" y="16693"/>
              </a:lnTo>
              <a:lnTo>
                <a:pt x="1370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485775</xdr:colOff>
      <xdr:row>10</xdr:row>
      <xdr:rowOff>209550</xdr:rowOff>
    </xdr:from>
    <xdr:ext cx="276225" cy="200025"/>
    <xdr:sp>
      <xdr:nvSpPr>
        <xdr:cNvPr id="43" name="Text Box 482"/>
        <xdr:cNvSpPr txBox="1">
          <a:spLocks noChangeArrowheads="1"/>
        </xdr:cNvSpPr>
      </xdr:nvSpPr>
      <xdr:spPr>
        <a:xfrm flipV="1">
          <a:off x="85058250" y="249555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ω</a:t>
          </a:r>
        </a:p>
      </xdr:txBody>
    </xdr:sp>
    <xdr:clientData/>
  </xdr:oneCellAnchor>
  <xdr:twoCellAnchor>
    <xdr:from>
      <xdr:col>96</xdr:col>
      <xdr:colOff>323850</xdr:colOff>
      <xdr:row>6</xdr:row>
      <xdr:rowOff>152400</xdr:rowOff>
    </xdr:from>
    <xdr:to>
      <xdr:col>96</xdr:col>
      <xdr:colOff>533400</xdr:colOff>
      <xdr:row>8</xdr:row>
      <xdr:rowOff>85725</xdr:rowOff>
    </xdr:to>
    <xdr:sp>
      <xdr:nvSpPr>
        <xdr:cNvPr id="44" name="Arc 486"/>
        <xdr:cNvSpPr>
          <a:spLocks/>
        </xdr:cNvSpPr>
      </xdr:nvSpPr>
      <xdr:spPr>
        <a:xfrm>
          <a:off x="84039075" y="1524000"/>
          <a:ext cx="200025" cy="390525"/>
        </a:xfrm>
        <a:custGeom>
          <a:pathLst>
            <a:path fill="none" h="21595" w="7211">
              <a:moveTo>
                <a:pt x="7210" y="20360"/>
              </a:moveTo>
              <a:cubicBezTo>
                <a:pt x="5040" y="21129"/>
                <a:pt x="2761" y="21546"/>
                <a:pt x="459" y="21595"/>
              </a:cubicBezTo>
            </a:path>
            <a:path stroke="0" h="21595" w="7211">
              <a:moveTo>
                <a:pt x="7210" y="20360"/>
              </a:moveTo>
              <a:cubicBezTo>
                <a:pt x="5040" y="21129"/>
                <a:pt x="2761" y="21546"/>
                <a:pt x="459" y="21595"/>
              </a:cubicBezTo>
              <a:lnTo>
                <a:pt x="0" y="0"/>
              </a:lnTo>
              <a:lnTo>
                <a:pt x="7210" y="203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0</xdr:colOff>
      <xdr:row>5</xdr:row>
      <xdr:rowOff>190500</xdr:rowOff>
    </xdr:from>
    <xdr:ext cx="228600" cy="190500"/>
    <xdr:sp>
      <xdr:nvSpPr>
        <xdr:cNvPr id="45" name="Text Box 488"/>
        <xdr:cNvSpPr txBox="1">
          <a:spLocks noChangeArrowheads="1"/>
        </xdr:cNvSpPr>
      </xdr:nvSpPr>
      <xdr:spPr>
        <a:xfrm>
          <a:off x="84572475" y="13335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β</a:t>
          </a:r>
        </a:p>
      </xdr:txBody>
    </xdr:sp>
    <xdr:clientData/>
  </xdr:oneCellAnchor>
  <xdr:twoCellAnchor>
    <xdr:from>
      <xdr:col>97</xdr:col>
      <xdr:colOff>114300</xdr:colOff>
      <xdr:row>6</xdr:row>
      <xdr:rowOff>66675</xdr:rowOff>
    </xdr:from>
    <xdr:to>
      <xdr:col>98</xdr:col>
      <xdr:colOff>762000</xdr:colOff>
      <xdr:row>12</xdr:row>
      <xdr:rowOff>0</xdr:rowOff>
    </xdr:to>
    <xdr:sp>
      <xdr:nvSpPr>
        <xdr:cNvPr id="46" name="Line 489"/>
        <xdr:cNvSpPr>
          <a:spLocks/>
        </xdr:cNvSpPr>
      </xdr:nvSpPr>
      <xdr:spPr>
        <a:xfrm flipV="1">
          <a:off x="84686775" y="1438275"/>
          <a:ext cx="1504950" cy="1304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771525</xdr:colOff>
      <xdr:row>4</xdr:row>
      <xdr:rowOff>38100</xdr:rowOff>
    </xdr:from>
    <xdr:to>
      <xdr:col>98</xdr:col>
      <xdr:colOff>771525</xdr:colOff>
      <xdr:row>6</xdr:row>
      <xdr:rowOff>66675</xdr:rowOff>
    </xdr:to>
    <xdr:sp>
      <xdr:nvSpPr>
        <xdr:cNvPr id="47" name="Line 490"/>
        <xdr:cNvSpPr>
          <a:spLocks/>
        </xdr:cNvSpPr>
      </xdr:nvSpPr>
      <xdr:spPr>
        <a:xfrm flipV="1">
          <a:off x="86201250" y="952500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161925</xdr:colOff>
      <xdr:row>2</xdr:row>
      <xdr:rowOff>200025</xdr:rowOff>
    </xdr:from>
    <xdr:to>
      <xdr:col>98</xdr:col>
      <xdr:colOff>752475</xdr:colOff>
      <xdr:row>2</xdr:row>
      <xdr:rowOff>200025</xdr:rowOff>
    </xdr:to>
    <xdr:sp>
      <xdr:nvSpPr>
        <xdr:cNvPr id="48" name="Line 492"/>
        <xdr:cNvSpPr>
          <a:spLocks/>
        </xdr:cNvSpPr>
      </xdr:nvSpPr>
      <xdr:spPr>
        <a:xfrm>
          <a:off x="85591650" y="657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99</xdr:col>
      <xdr:colOff>0</xdr:colOff>
      <xdr:row>2</xdr:row>
      <xdr:rowOff>0</xdr:rowOff>
    </xdr:from>
    <xdr:ext cx="133350" cy="190500"/>
    <xdr:sp>
      <xdr:nvSpPr>
        <xdr:cNvPr id="49" name="Text Box 493"/>
        <xdr:cNvSpPr txBox="1">
          <a:spLocks noChangeArrowheads="1"/>
        </xdr:cNvSpPr>
      </xdr:nvSpPr>
      <xdr:spPr>
        <a:xfrm>
          <a:off x="86286975" y="4572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b</a:t>
          </a:r>
        </a:p>
      </xdr:txBody>
    </xdr:sp>
    <xdr:clientData/>
  </xdr:oneCellAnchor>
  <xdr:twoCellAnchor>
    <xdr:from>
      <xdr:col>94</xdr:col>
      <xdr:colOff>571500</xdr:colOff>
      <xdr:row>2</xdr:row>
      <xdr:rowOff>142875</xdr:rowOff>
    </xdr:from>
    <xdr:to>
      <xdr:col>98</xdr:col>
      <xdr:colOff>95250</xdr:colOff>
      <xdr:row>2</xdr:row>
      <xdr:rowOff>142875</xdr:rowOff>
    </xdr:to>
    <xdr:sp>
      <xdr:nvSpPr>
        <xdr:cNvPr id="50" name="Line 501"/>
        <xdr:cNvSpPr>
          <a:spLocks/>
        </xdr:cNvSpPr>
      </xdr:nvSpPr>
      <xdr:spPr>
        <a:xfrm flipH="1">
          <a:off x="82572225" y="6000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66675</xdr:colOff>
      <xdr:row>5</xdr:row>
      <xdr:rowOff>104775</xdr:rowOff>
    </xdr:from>
    <xdr:to>
      <xdr:col>95</xdr:col>
      <xdr:colOff>771525</xdr:colOff>
      <xdr:row>5</xdr:row>
      <xdr:rowOff>104775</xdr:rowOff>
    </xdr:to>
    <xdr:sp>
      <xdr:nvSpPr>
        <xdr:cNvPr id="51" name="Line 502"/>
        <xdr:cNvSpPr>
          <a:spLocks/>
        </xdr:cNvSpPr>
      </xdr:nvSpPr>
      <xdr:spPr>
        <a:xfrm flipH="1">
          <a:off x="82924650" y="1247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94</xdr:col>
      <xdr:colOff>504825</xdr:colOff>
      <xdr:row>11</xdr:row>
      <xdr:rowOff>200025</xdr:rowOff>
    </xdr:from>
    <xdr:to>
      <xdr:col>95</xdr:col>
      <xdr:colOff>685800</xdr:colOff>
      <xdr:row>11</xdr:row>
      <xdr:rowOff>200025</xdr:rowOff>
    </xdr:to>
    <xdr:sp>
      <xdr:nvSpPr>
        <xdr:cNvPr id="52" name="Line 503"/>
        <xdr:cNvSpPr>
          <a:spLocks/>
        </xdr:cNvSpPr>
      </xdr:nvSpPr>
      <xdr:spPr>
        <a:xfrm flipH="1">
          <a:off x="82505550" y="2714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295275</xdr:colOff>
      <xdr:row>2</xdr:row>
      <xdr:rowOff>180975</xdr:rowOff>
    </xdr:from>
    <xdr:to>
      <xdr:col>95</xdr:col>
      <xdr:colOff>295275</xdr:colOff>
      <xdr:row>5</xdr:row>
      <xdr:rowOff>95250</xdr:rowOff>
    </xdr:to>
    <xdr:sp>
      <xdr:nvSpPr>
        <xdr:cNvPr id="53" name="Line 504"/>
        <xdr:cNvSpPr>
          <a:spLocks/>
        </xdr:cNvSpPr>
      </xdr:nvSpPr>
      <xdr:spPr>
        <a:xfrm>
          <a:off x="83153250" y="638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295275</xdr:colOff>
      <xdr:row>5</xdr:row>
      <xdr:rowOff>142875</xdr:rowOff>
    </xdr:from>
    <xdr:to>
      <xdr:col>95</xdr:col>
      <xdr:colOff>295275</xdr:colOff>
      <xdr:row>11</xdr:row>
      <xdr:rowOff>200025</xdr:rowOff>
    </xdr:to>
    <xdr:sp>
      <xdr:nvSpPr>
        <xdr:cNvPr id="54" name="Line 505"/>
        <xdr:cNvSpPr>
          <a:spLocks/>
        </xdr:cNvSpPr>
      </xdr:nvSpPr>
      <xdr:spPr>
        <a:xfrm>
          <a:off x="83153250" y="12858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94</xdr:col>
      <xdr:colOff>704850</xdr:colOff>
      <xdr:row>2</xdr:row>
      <xdr:rowOff>152400</xdr:rowOff>
    </xdr:from>
    <xdr:to>
      <xdr:col>94</xdr:col>
      <xdr:colOff>704850</xdr:colOff>
      <xdr:row>11</xdr:row>
      <xdr:rowOff>209550</xdr:rowOff>
    </xdr:to>
    <xdr:sp>
      <xdr:nvSpPr>
        <xdr:cNvPr id="55" name="Line 506"/>
        <xdr:cNvSpPr>
          <a:spLocks/>
        </xdr:cNvSpPr>
      </xdr:nvSpPr>
      <xdr:spPr>
        <a:xfrm>
          <a:off x="82705575" y="6096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95</xdr:col>
      <xdr:colOff>0</xdr:colOff>
      <xdr:row>6</xdr:row>
      <xdr:rowOff>152400</xdr:rowOff>
    </xdr:from>
    <xdr:ext cx="180975" cy="190500"/>
    <xdr:sp>
      <xdr:nvSpPr>
        <xdr:cNvPr id="56" name="Text Box 507"/>
        <xdr:cNvSpPr txBox="1">
          <a:spLocks noChangeArrowheads="1"/>
        </xdr:cNvSpPr>
      </xdr:nvSpPr>
      <xdr:spPr>
        <a:xfrm>
          <a:off x="82857975" y="15240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</a:t>
          </a:r>
        </a:p>
      </xdr:txBody>
    </xdr:sp>
    <xdr:clientData/>
  </xdr:oneCellAnchor>
  <xdr:oneCellAnchor>
    <xdr:from>
      <xdr:col>95</xdr:col>
      <xdr:colOff>0</xdr:colOff>
      <xdr:row>3</xdr:row>
      <xdr:rowOff>152400</xdr:rowOff>
    </xdr:from>
    <xdr:ext cx="276225" cy="190500"/>
    <xdr:sp>
      <xdr:nvSpPr>
        <xdr:cNvPr id="57" name="Text Box 508"/>
        <xdr:cNvSpPr txBox="1">
          <a:spLocks noChangeArrowheads="1"/>
        </xdr:cNvSpPr>
      </xdr:nvSpPr>
      <xdr:spPr>
        <a:xfrm>
          <a:off x="82857975" y="8382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Ho</a:t>
          </a:r>
        </a:p>
      </xdr:txBody>
    </xdr:sp>
    <xdr:clientData/>
  </xdr:oneCellAnchor>
  <xdr:oneCellAnchor>
    <xdr:from>
      <xdr:col>95</xdr:col>
      <xdr:colOff>0</xdr:colOff>
      <xdr:row>8</xdr:row>
      <xdr:rowOff>38100</xdr:rowOff>
    </xdr:from>
    <xdr:ext cx="266700" cy="190500"/>
    <xdr:sp>
      <xdr:nvSpPr>
        <xdr:cNvPr id="58" name="Text Box 509"/>
        <xdr:cNvSpPr txBox="1">
          <a:spLocks noChangeArrowheads="1"/>
        </xdr:cNvSpPr>
      </xdr:nvSpPr>
      <xdr:spPr>
        <a:xfrm>
          <a:off x="82857975" y="18669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Ha</a:t>
          </a:r>
        </a:p>
      </xdr:txBody>
    </xdr:sp>
    <xdr:clientData/>
  </xdr:oneCellAnchor>
  <xdr:twoCellAnchor>
    <xdr:from>
      <xdr:col>2</xdr:col>
      <xdr:colOff>295275</xdr:colOff>
      <xdr:row>162</xdr:row>
      <xdr:rowOff>0</xdr:rowOff>
    </xdr:from>
    <xdr:to>
      <xdr:col>5</xdr:col>
      <xdr:colOff>638175</xdr:colOff>
      <xdr:row>175</xdr:row>
      <xdr:rowOff>152400</xdr:rowOff>
    </xdr:to>
    <xdr:graphicFrame>
      <xdr:nvGraphicFramePr>
        <xdr:cNvPr id="59" name="グラフ 515"/>
        <xdr:cNvGraphicFramePr/>
      </xdr:nvGraphicFramePr>
      <xdr:xfrm>
        <a:off x="2085975" y="37033200"/>
        <a:ext cx="3114675" cy="3124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4</xdr:col>
      <xdr:colOff>76200</xdr:colOff>
      <xdr:row>254</xdr:row>
      <xdr:rowOff>0</xdr:rowOff>
    </xdr:from>
    <xdr:to>
      <xdr:col>5</xdr:col>
      <xdr:colOff>676275</xdr:colOff>
      <xdr:row>255</xdr:row>
      <xdr:rowOff>47625</xdr:rowOff>
    </xdr:to>
    <xdr:pic>
      <xdr:nvPicPr>
        <xdr:cNvPr id="60" name="Picture 5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58064400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322</xdr:row>
      <xdr:rowOff>95250</xdr:rowOff>
    </xdr:from>
    <xdr:to>
      <xdr:col>3</xdr:col>
      <xdr:colOff>647700</xdr:colOff>
      <xdr:row>327</xdr:row>
      <xdr:rowOff>142875</xdr:rowOff>
    </xdr:to>
    <xdr:pic>
      <xdr:nvPicPr>
        <xdr:cNvPr id="61" name="Picture 5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52625" y="7370445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356</xdr:row>
      <xdr:rowOff>66675</xdr:rowOff>
    </xdr:from>
    <xdr:to>
      <xdr:col>4</xdr:col>
      <xdr:colOff>323850</xdr:colOff>
      <xdr:row>359</xdr:row>
      <xdr:rowOff>190500</xdr:rowOff>
    </xdr:to>
    <xdr:pic>
      <xdr:nvPicPr>
        <xdr:cNvPr id="62" name="Picture 5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00" y="81448275"/>
          <a:ext cx="2105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396</xdr:row>
      <xdr:rowOff>152400</xdr:rowOff>
    </xdr:from>
    <xdr:to>
      <xdr:col>3</xdr:col>
      <xdr:colOff>495300</xdr:colOff>
      <xdr:row>403</xdr:row>
      <xdr:rowOff>85725</xdr:rowOff>
    </xdr:to>
    <xdr:pic>
      <xdr:nvPicPr>
        <xdr:cNvPr id="63" name="Picture 5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76400" y="90678000"/>
          <a:ext cx="1562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286</xdr:row>
      <xdr:rowOff>190500</xdr:rowOff>
    </xdr:from>
    <xdr:to>
      <xdr:col>4</xdr:col>
      <xdr:colOff>600075</xdr:colOff>
      <xdr:row>293</xdr:row>
      <xdr:rowOff>0</xdr:rowOff>
    </xdr:to>
    <xdr:pic>
      <xdr:nvPicPr>
        <xdr:cNvPr id="64" name="Picture 5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0225" y="65570100"/>
          <a:ext cx="2486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5</xdr:col>
      <xdr:colOff>114300</xdr:colOff>
      <xdr:row>260</xdr:row>
      <xdr:rowOff>171450</xdr:rowOff>
    </xdr:to>
    <xdr:pic>
      <xdr:nvPicPr>
        <xdr:cNvPr id="65" name="Picture 5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90700" y="58521600"/>
          <a:ext cx="2886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439</xdr:row>
      <xdr:rowOff>133350</xdr:rowOff>
    </xdr:from>
    <xdr:to>
      <xdr:col>8</xdr:col>
      <xdr:colOff>238125</xdr:colOff>
      <xdr:row>450</xdr:row>
      <xdr:rowOff>123825</xdr:rowOff>
    </xdr:to>
    <xdr:graphicFrame>
      <xdr:nvGraphicFramePr>
        <xdr:cNvPr id="66" name="グラフ 527"/>
        <xdr:cNvGraphicFramePr/>
      </xdr:nvGraphicFramePr>
      <xdr:xfrm>
        <a:off x="942975" y="100488750"/>
        <a:ext cx="6429375" cy="2505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3</xdr:col>
      <xdr:colOff>304800</xdr:colOff>
      <xdr:row>64</xdr:row>
      <xdr:rowOff>161925</xdr:rowOff>
    </xdr:from>
    <xdr:to>
      <xdr:col>4</xdr:col>
      <xdr:colOff>714375</xdr:colOff>
      <xdr:row>66</xdr:row>
      <xdr:rowOff>114300</xdr:rowOff>
    </xdr:to>
    <xdr:pic>
      <xdr:nvPicPr>
        <xdr:cNvPr id="67" name="Picture 58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48000" y="147923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455</xdr:row>
      <xdr:rowOff>85725</xdr:rowOff>
    </xdr:from>
    <xdr:to>
      <xdr:col>7</xdr:col>
      <xdr:colOff>409575</xdr:colOff>
      <xdr:row>464</xdr:row>
      <xdr:rowOff>152400</xdr:rowOff>
    </xdr:to>
    <xdr:pic>
      <xdr:nvPicPr>
        <xdr:cNvPr id="68" name="Picture 59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104098725"/>
          <a:ext cx="5305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384</xdr:row>
      <xdr:rowOff>47625</xdr:rowOff>
    </xdr:from>
    <xdr:to>
      <xdr:col>8</xdr:col>
      <xdr:colOff>95250</xdr:colOff>
      <xdr:row>395</xdr:row>
      <xdr:rowOff>0</xdr:rowOff>
    </xdr:to>
    <xdr:graphicFrame>
      <xdr:nvGraphicFramePr>
        <xdr:cNvPr id="69" name="グラフ 596"/>
        <xdr:cNvGraphicFramePr/>
      </xdr:nvGraphicFramePr>
      <xdr:xfrm>
        <a:off x="1628775" y="87830025"/>
        <a:ext cx="56007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152400</xdr:colOff>
      <xdr:row>21</xdr:row>
      <xdr:rowOff>9525</xdr:rowOff>
    </xdr:from>
    <xdr:to>
      <xdr:col>8</xdr:col>
      <xdr:colOff>771525</xdr:colOff>
      <xdr:row>30</xdr:row>
      <xdr:rowOff>161925</xdr:rowOff>
    </xdr:to>
    <xdr:graphicFrame>
      <xdr:nvGraphicFramePr>
        <xdr:cNvPr id="70" name="グラフ 599"/>
        <xdr:cNvGraphicFramePr/>
      </xdr:nvGraphicFramePr>
      <xdr:xfrm>
        <a:off x="4714875" y="4810125"/>
        <a:ext cx="3190875" cy="2209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1</xdr:col>
      <xdr:colOff>571500</xdr:colOff>
      <xdr:row>190</xdr:row>
      <xdr:rowOff>171450</xdr:rowOff>
    </xdr:from>
    <xdr:to>
      <xdr:col>7</xdr:col>
      <xdr:colOff>495300</xdr:colOff>
      <xdr:row>205</xdr:row>
      <xdr:rowOff>9525</xdr:rowOff>
    </xdr:to>
    <xdr:pic>
      <xdr:nvPicPr>
        <xdr:cNvPr id="71" name="Picture 6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0" y="43605450"/>
          <a:ext cx="54102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222</xdr:row>
      <xdr:rowOff>123825</xdr:rowOff>
    </xdr:from>
    <xdr:to>
      <xdr:col>3</xdr:col>
      <xdr:colOff>685800</xdr:colOff>
      <xdr:row>224</xdr:row>
      <xdr:rowOff>104775</xdr:rowOff>
    </xdr:to>
    <xdr:pic>
      <xdr:nvPicPr>
        <xdr:cNvPr id="72" name="Picture 6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38350" y="508730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244</xdr:row>
      <xdr:rowOff>209550</xdr:rowOff>
    </xdr:from>
    <xdr:to>
      <xdr:col>6</xdr:col>
      <xdr:colOff>76200</xdr:colOff>
      <xdr:row>253</xdr:row>
      <xdr:rowOff>0</xdr:rowOff>
    </xdr:to>
    <xdr:pic>
      <xdr:nvPicPr>
        <xdr:cNvPr id="73" name="Picture 60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24000" y="55987950"/>
          <a:ext cx="40481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471</xdr:row>
      <xdr:rowOff>171450</xdr:rowOff>
    </xdr:from>
    <xdr:to>
      <xdr:col>4</xdr:col>
      <xdr:colOff>800100</xdr:colOff>
      <xdr:row>476</xdr:row>
      <xdr:rowOff>171450</xdr:rowOff>
    </xdr:to>
    <xdr:pic>
      <xdr:nvPicPr>
        <xdr:cNvPr id="74" name="Picture 60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52650" y="107842050"/>
          <a:ext cx="233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22</xdr:row>
      <xdr:rowOff>47625</xdr:rowOff>
    </xdr:from>
    <xdr:to>
      <xdr:col>1</xdr:col>
      <xdr:colOff>438150</xdr:colOff>
      <xdr:row>23</xdr:row>
      <xdr:rowOff>19050</xdr:rowOff>
    </xdr:to>
    <xdr:sp textlink="$Q$11">
      <xdr:nvSpPr>
        <xdr:cNvPr id="75" name="Text Box 607"/>
        <xdr:cNvSpPr txBox="1">
          <a:spLocks noChangeArrowheads="1"/>
        </xdr:cNvSpPr>
      </xdr:nvSpPr>
      <xdr:spPr>
        <a:xfrm>
          <a:off x="371475" y="5076825"/>
          <a:ext cx="923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e58efa26-0538-48c4-82eb-db96c3455b21}" type="TxLink">
            <a:rPr lang="en-US" cap="none" sz="1100" b="0" i="0" u="none" baseline="0">
              <a:solidFill>
                <a:srgbClr val="000000"/>
              </a:solidFill>
            </a:rPr>
            <a:t>H0=0m</a:t>
          </a:fld>
        </a:p>
      </xdr:txBody>
    </xdr:sp>
    <xdr:clientData/>
  </xdr:twoCellAnchor>
  <xdr:twoCellAnchor>
    <xdr:from>
      <xdr:col>3</xdr:col>
      <xdr:colOff>685800</xdr:colOff>
      <xdr:row>19</xdr:row>
      <xdr:rowOff>57150</xdr:rowOff>
    </xdr:from>
    <xdr:to>
      <xdr:col>4</xdr:col>
      <xdr:colOff>676275</xdr:colOff>
      <xdr:row>20</xdr:row>
      <xdr:rowOff>28575</xdr:rowOff>
    </xdr:to>
    <xdr:sp textlink="$Q$30">
      <xdr:nvSpPr>
        <xdr:cNvPr id="76" name="Text Box 608"/>
        <xdr:cNvSpPr txBox="1">
          <a:spLocks noChangeArrowheads="1"/>
        </xdr:cNvSpPr>
      </xdr:nvSpPr>
      <xdr:spPr>
        <a:xfrm>
          <a:off x="3429000" y="4400550"/>
          <a:ext cx="933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08d07eca-9648-4b9c-82e2-2d07f3af86e1}" type="TxLink">
            <a:rPr lang="en-US" cap="none" sz="1100" b="0" i="0" u="none" baseline="0">
              <a:solidFill>
                <a:srgbClr val="000000"/>
              </a:solidFill>
            </a:rPr>
            <a:t>q=0kN/m2</a:t>
          </a:fld>
        </a:p>
      </xdr:txBody>
    </xdr:sp>
    <xdr:clientData/>
  </xdr:twoCellAnchor>
  <xdr:twoCellAnchor>
    <xdr:from>
      <xdr:col>0</xdr:col>
      <xdr:colOff>314325</xdr:colOff>
      <xdr:row>25</xdr:row>
      <xdr:rowOff>28575</xdr:rowOff>
    </xdr:from>
    <xdr:to>
      <xdr:col>1</xdr:col>
      <xdr:colOff>457200</xdr:colOff>
      <xdr:row>26</xdr:row>
      <xdr:rowOff>0</xdr:rowOff>
    </xdr:to>
    <xdr:sp textlink="$Q$4">
      <xdr:nvSpPr>
        <xdr:cNvPr id="77" name="Text Box 609"/>
        <xdr:cNvSpPr txBox="1">
          <a:spLocks noChangeArrowheads="1"/>
        </xdr:cNvSpPr>
      </xdr:nvSpPr>
      <xdr:spPr>
        <a:xfrm>
          <a:off x="314325" y="5743575"/>
          <a:ext cx="1000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78318193-6563-46ac-a3c5-d939ff552324}" type="TxLink">
            <a:rPr lang="en-US" cap="none" sz="1100" b="0" i="0" u="none" baseline="0">
              <a:solidFill>
                <a:srgbClr val="000000"/>
              </a:solidFill>
            </a:rPr>
            <a:t>H=9.2m</a:t>
          </a:fld>
        </a:p>
      </xdr:txBody>
    </xdr:sp>
    <xdr:clientData/>
  </xdr:twoCellAnchor>
  <xdr:twoCellAnchor>
    <xdr:from>
      <xdr:col>1</xdr:col>
      <xdr:colOff>400050</xdr:colOff>
      <xdr:row>28</xdr:row>
      <xdr:rowOff>38100</xdr:rowOff>
    </xdr:from>
    <xdr:to>
      <xdr:col>2</xdr:col>
      <xdr:colOff>466725</xdr:colOff>
      <xdr:row>29</xdr:row>
      <xdr:rowOff>9525</xdr:rowOff>
    </xdr:to>
    <xdr:sp textlink="$Q$6">
      <xdr:nvSpPr>
        <xdr:cNvPr id="78" name="Text Box 610"/>
        <xdr:cNvSpPr txBox="1">
          <a:spLocks noChangeArrowheads="1"/>
        </xdr:cNvSpPr>
      </xdr:nvSpPr>
      <xdr:spPr>
        <a:xfrm>
          <a:off x="1257300" y="64389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fld id="{b7d8ee41-1e31-439d-9cfa-6d819ac662eb}" type="TxLink">
            <a:rPr lang="en-US" cap="none" sz="1100" b="0" i="0" u="none" baseline="0">
              <a:solidFill>
                <a:srgbClr val="000000"/>
              </a:solidFill>
            </a:rPr>
            <a:t>B=3.16m</a:t>
          </a:fld>
        </a:p>
      </xdr:txBody>
    </xdr:sp>
    <xdr:clientData/>
  </xdr:twoCellAnchor>
  <xdr:twoCellAnchor>
    <xdr:from>
      <xdr:col>0</xdr:col>
      <xdr:colOff>161925</xdr:colOff>
      <xdr:row>28</xdr:row>
      <xdr:rowOff>0</xdr:rowOff>
    </xdr:from>
    <xdr:to>
      <xdr:col>1</xdr:col>
      <xdr:colOff>285750</xdr:colOff>
      <xdr:row>28</xdr:row>
      <xdr:rowOff>200025</xdr:rowOff>
    </xdr:to>
    <xdr:sp textlink="$Q$40">
      <xdr:nvSpPr>
        <xdr:cNvPr id="79" name="Text Box 611"/>
        <xdr:cNvSpPr txBox="1">
          <a:spLocks noChangeArrowheads="1"/>
        </xdr:cNvSpPr>
      </xdr:nvSpPr>
      <xdr:spPr>
        <a:xfrm>
          <a:off x="161925" y="6400800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fld id="{61799698-93e4-4ba7-ab4f-d399caec1582}" type="TxLink">
            <a:rPr lang="en-US" cap="none" sz="1100" b="0" i="0" u="none" baseline="0">
              <a:solidFill>
                <a:srgbClr val="000000"/>
              </a:solidFill>
            </a:rPr>
            <a:t>Df=0m</a:t>
          </a:fld>
        </a:p>
      </xdr:txBody>
    </xdr:sp>
    <xdr:clientData/>
  </xdr:twoCellAnchor>
  <xdr:twoCellAnchor>
    <xdr:from>
      <xdr:col>1</xdr:col>
      <xdr:colOff>552450</xdr:colOff>
      <xdr:row>21</xdr:row>
      <xdr:rowOff>114300</xdr:rowOff>
    </xdr:from>
    <xdr:to>
      <xdr:col>2</xdr:col>
      <xdr:colOff>542925</xdr:colOff>
      <xdr:row>22</xdr:row>
      <xdr:rowOff>85725</xdr:rowOff>
    </xdr:to>
    <xdr:sp textlink="$Q$5">
      <xdr:nvSpPr>
        <xdr:cNvPr id="80" name="Text Box 612"/>
        <xdr:cNvSpPr txBox="1">
          <a:spLocks noChangeArrowheads="1"/>
        </xdr:cNvSpPr>
      </xdr:nvSpPr>
      <xdr:spPr>
        <a:xfrm>
          <a:off x="1409700" y="4914900"/>
          <a:ext cx="923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3fa8ad4a-82d6-4a1a-8950-1112c74c1279}" type="TxLink">
            <a:rPr lang="en-US" cap="none" sz="1100" b="0" i="0" u="none" baseline="0">
              <a:solidFill>
                <a:srgbClr val="000000"/>
              </a:solidFill>
            </a:rPr>
            <a:t>bu=0.4m</a:t>
          </a:fld>
        </a:p>
      </xdr:txBody>
    </xdr:sp>
    <xdr:clientData/>
  </xdr:twoCellAnchor>
  <xdr:twoCellAnchor editAs="oneCell">
    <xdr:from>
      <xdr:col>3</xdr:col>
      <xdr:colOff>95250</xdr:colOff>
      <xdr:row>233</xdr:row>
      <xdr:rowOff>180975</xdr:rowOff>
    </xdr:from>
    <xdr:to>
      <xdr:col>4</xdr:col>
      <xdr:colOff>66675</xdr:colOff>
      <xdr:row>235</xdr:row>
      <xdr:rowOff>133350</xdr:rowOff>
    </xdr:to>
    <xdr:pic>
      <xdr:nvPicPr>
        <xdr:cNvPr id="81" name="Picture 6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38450" y="534447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23</xdr:row>
      <xdr:rowOff>57150</xdr:rowOff>
    </xdr:from>
    <xdr:to>
      <xdr:col>3</xdr:col>
      <xdr:colOff>752475</xdr:colOff>
      <xdr:row>24</xdr:row>
      <xdr:rowOff>28575</xdr:rowOff>
    </xdr:to>
    <xdr:sp textlink="$Q$10">
      <xdr:nvSpPr>
        <xdr:cNvPr id="82" name="Text Box 614"/>
        <xdr:cNvSpPr txBox="1">
          <a:spLocks noChangeArrowheads="1"/>
        </xdr:cNvSpPr>
      </xdr:nvSpPr>
      <xdr:spPr>
        <a:xfrm>
          <a:off x="2562225" y="531495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79781ebb-ba95-4ed7-9746-a65e255d6232}" type="TxLink">
            <a:rPr lang="en-US" cap="none" sz="1100" b="0" i="0" u="none" baseline="0">
              <a:solidFill>
                <a:srgbClr val="000000"/>
              </a:solidFill>
            </a:rPr>
            <a:t>1: 0</a:t>
          </a:fld>
        </a:p>
      </xdr:txBody>
    </xdr:sp>
    <xdr:clientData/>
  </xdr:twoCellAnchor>
  <xdr:twoCellAnchor>
    <xdr:from>
      <xdr:col>2</xdr:col>
      <xdr:colOff>400050</xdr:colOff>
      <xdr:row>26</xdr:row>
      <xdr:rowOff>0</xdr:rowOff>
    </xdr:from>
    <xdr:to>
      <xdr:col>3</xdr:col>
      <xdr:colOff>381000</xdr:colOff>
      <xdr:row>26</xdr:row>
      <xdr:rowOff>200025</xdr:rowOff>
    </xdr:to>
    <xdr:sp textlink="$Q$8">
      <xdr:nvSpPr>
        <xdr:cNvPr id="83" name="Text Box 615"/>
        <xdr:cNvSpPr txBox="1">
          <a:spLocks noChangeArrowheads="1"/>
        </xdr:cNvSpPr>
      </xdr:nvSpPr>
      <xdr:spPr>
        <a:xfrm>
          <a:off x="2190750" y="59436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9d11bb14-0ee8-4467-a712-2e110a1d2762}" type="TxLink">
            <a:rPr lang="en-US" cap="none" sz="1100" b="0" i="0" u="none" baseline="0">
              <a:solidFill>
                <a:srgbClr val="000000"/>
              </a:solidFill>
            </a:rPr>
            <a:t>1 : -0.1</a:t>
          </a:fld>
        </a:p>
      </xdr:txBody>
    </xdr:sp>
    <xdr:clientData/>
  </xdr:twoCellAnchor>
  <xdr:twoCellAnchor>
    <xdr:from>
      <xdr:col>1</xdr:col>
      <xdr:colOff>57150</xdr:colOff>
      <xdr:row>24</xdr:row>
      <xdr:rowOff>152400</xdr:rowOff>
    </xdr:from>
    <xdr:to>
      <xdr:col>2</xdr:col>
      <xdr:colOff>38100</xdr:colOff>
      <xdr:row>25</xdr:row>
      <xdr:rowOff>142875</xdr:rowOff>
    </xdr:to>
    <xdr:sp textlink="$Q$7">
      <xdr:nvSpPr>
        <xdr:cNvPr id="84" name="Text Box 616"/>
        <xdr:cNvSpPr txBox="1">
          <a:spLocks noChangeArrowheads="1"/>
        </xdr:cNvSpPr>
      </xdr:nvSpPr>
      <xdr:spPr>
        <a:xfrm>
          <a:off x="914400" y="563880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fld id="{da05f20a-5145-4f97-ae2e-2e9934fcf271}" type="TxLink">
            <a:rPr lang="en-US" cap="none" sz="1100" b="0" i="0" u="none" baseline="0">
              <a:solidFill>
                <a:srgbClr val="000000"/>
              </a:solidFill>
            </a:rPr>
            <a:t>1 : 0.4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22"/>
  <sheetViews>
    <sheetView zoomScalePageLayoutView="0" workbookViewId="0" topLeftCell="A4">
      <selection activeCell="H12" sqref="H12"/>
    </sheetView>
  </sheetViews>
  <sheetFormatPr defaultColWidth="8.796875" defaultRowHeight="14.25"/>
  <cols>
    <col min="2" max="2" width="9" style="124" customWidth="1"/>
    <col min="6" max="6" width="9" style="123" customWidth="1"/>
  </cols>
  <sheetData>
    <row r="2" ht="12.75">
      <c r="F2" s="122" t="s">
        <v>113</v>
      </c>
    </row>
    <row r="3" spans="1:6" ht="13.5">
      <c r="A3" t="s">
        <v>117</v>
      </c>
      <c r="B3" s="113" t="s">
        <v>112</v>
      </c>
      <c r="C3" s="119" t="s">
        <v>114</v>
      </c>
      <c r="D3" s="119" t="s">
        <v>115</v>
      </c>
      <c r="E3" s="110"/>
      <c r="F3" s="121">
        <v>8</v>
      </c>
    </row>
    <row r="4" spans="1:9" ht="13.5">
      <c r="A4">
        <v>1</v>
      </c>
      <c r="B4" s="127" t="s">
        <v>120</v>
      </c>
      <c r="C4" s="110">
        <v>30</v>
      </c>
      <c r="D4" s="110">
        <v>0.6</v>
      </c>
      <c r="E4" s="110"/>
      <c r="G4" t="s">
        <v>415</v>
      </c>
      <c r="I4" t="s">
        <v>416</v>
      </c>
    </row>
    <row r="5" spans="1:10" ht="13.5">
      <c r="A5">
        <v>2</v>
      </c>
      <c r="B5" s="127" t="s">
        <v>121</v>
      </c>
      <c r="C5" s="110">
        <v>30</v>
      </c>
      <c r="D5" s="110">
        <v>0.6</v>
      </c>
      <c r="E5" s="110"/>
      <c r="G5">
        <v>1</v>
      </c>
      <c r="H5" t="s">
        <v>421</v>
      </c>
      <c r="I5">
        <v>126.7</v>
      </c>
      <c r="J5">
        <v>13</v>
      </c>
    </row>
    <row r="6" spans="1:10" ht="13.5">
      <c r="A6">
        <v>3</v>
      </c>
      <c r="B6" s="127" t="s">
        <v>122</v>
      </c>
      <c r="C6" s="110">
        <v>50</v>
      </c>
      <c r="D6" s="110">
        <v>0.6</v>
      </c>
      <c r="E6" s="110"/>
      <c r="G6">
        <v>2</v>
      </c>
      <c r="H6" t="s">
        <v>422</v>
      </c>
      <c r="I6">
        <v>198.6</v>
      </c>
      <c r="J6">
        <v>16</v>
      </c>
    </row>
    <row r="7" spans="1:10" ht="13.5">
      <c r="A7">
        <v>4</v>
      </c>
      <c r="B7" s="127" t="s">
        <v>123</v>
      </c>
      <c r="C7" s="110">
        <v>50</v>
      </c>
      <c r="D7" s="110">
        <v>0.675</v>
      </c>
      <c r="E7" s="110"/>
      <c r="G7">
        <v>3</v>
      </c>
      <c r="H7" t="s">
        <v>423</v>
      </c>
      <c r="I7">
        <v>286.5</v>
      </c>
      <c r="J7">
        <v>19</v>
      </c>
    </row>
    <row r="8" spans="1:10" ht="13.5">
      <c r="A8">
        <v>5</v>
      </c>
      <c r="B8" s="127" t="s">
        <v>124</v>
      </c>
      <c r="C8" s="110">
        <v>55</v>
      </c>
      <c r="D8" s="110">
        <v>0.76</v>
      </c>
      <c r="E8" s="110"/>
      <c r="G8">
        <v>4</v>
      </c>
      <c r="H8" t="s">
        <v>424</v>
      </c>
      <c r="I8">
        <v>387.1</v>
      </c>
      <c r="J8">
        <v>22</v>
      </c>
    </row>
    <row r="9" spans="1:10" ht="13.5">
      <c r="A9">
        <v>6</v>
      </c>
      <c r="B9" s="127" t="s">
        <v>125</v>
      </c>
      <c r="C9" s="110">
        <v>55</v>
      </c>
      <c r="D9" s="110">
        <v>0.76</v>
      </c>
      <c r="E9" s="110"/>
      <c r="G9">
        <v>5</v>
      </c>
      <c r="H9" t="s">
        <v>425</v>
      </c>
      <c r="I9">
        <v>506.7</v>
      </c>
      <c r="J9">
        <v>25</v>
      </c>
    </row>
    <row r="10" spans="1:10" ht="13.5">
      <c r="A10">
        <v>7</v>
      </c>
      <c r="B10" s="127" t="s">
        <v>126</v>
      </c>
      <c r="C10" s="110">
        <v>55</v>
      </c>
      <c r="D10" s="110">
        <v>0.76</v>
      </c>
      <c r="E10" s="110"/>
      <c r="G10">
        <v>6</v>
      </c>
      <c r="H10" t="s">
        <v>426</v>
      </c>
      <c r="I10">
        <v>642.4</v>
      </c>
      <c r="J10">
        <v>29</v>
      </c>
    </row>
    <row r="11" spans="1:10" ht="13.5">
      <c r="A11">
        <v>8</v>
      </c>
      <c r="B11" s="128" t="s">
        <v>128</v>
      </c>
      <c r="C11" s="110">
        <v>0</v>
      </c>
      <c r="D11" s="110">
        <v>0</v>
      </c>
      <c r="E11" s="110"/>
      <c r="G11">
        <v>7</v>
      </c>
      <c r="H11" t="s">
        <v>427</v>
      </c>
      <c r="I11">
        <v>794.2</v>
      </c>
      <c r="J11">
        <v>32</v>
      </c>
    </row>
    <row r="12" spans="2:10" ht="13.5">
      <c r="B12" s="113"/>
      <c r="C12" s="110"/>
      <c r="D12" s="110"/>
      <c r="E12" s="110"/>
      <c r="G12">
        <v>2</v>
      </c>
      <c r="H12">
        <f>IF(B21=1,"",VLOOKUP(G12,G5:H11,2))</f>
      </c>
      <c r="I12">
        <f>IF(B21=1,0,VLOOKUP(G12,G5:I11,3))</f>
        <v>0</v>
      </c>
      <c r="J12" t="e">
        <f>IF(C21=1,0,VLOOKUP(H12,H5:J11,3))</f>
        <v>#N/A</v>
      </c>
    </row>
    <row r="13" spans="2:3" ht="13.5">
      <c r="B13" s="126" t="s">
        <v>118</v>
      </c>
      <c r="C13" s="120" t="str">
        <f>VLOOKUP($F$3,$A$4:$D$11,2,FALSE)</f>
        <v>なし</v>
      </c>
    </row>
    <row r="14" spans="2:4" ht="13.5">
      <c r="B14" s="126" t="s">
        <v>119</v>
      </c>
      <c r="C14" s="120">
        <f>VLOOKUP($F$3,$A$4:$D$11,3,FALSE)</f>
        <v>0</v>
      </c>
      <c r="D14" s="118" t="s">
        <v>127</v>
      </c>
    </row>
    <row r="15" spans="2:4" ht="13.5">
      <c r="B15" s="126" t="s">
        <v>116</v>
      </c>
      <c r="C15" s="120">
        <f>VLOOKUP($F$3,$A$4:$D$11,4,FALSE)</f>
        <v>0</v>
      </c>
      <c r="D15" s="118" t="s">
        <v>108</v>
      </c>
    </row>
    <row r="17" spans="1:2" ht="13.5">
      <c r="A17" t="s">
        <v>117</v>
      </c>
      <c r="B17" s="113" t="s">
        <v>112</v>
      </c>
    </row>
    <row r="18" spans="1:2" ht="13.5">
      <c r="A18">
        <v>1</v>
      </c>
      <c r="B18" t="s">
        <v>372</v>
      </c>
    </row>
    <row r="19" spans="1:2" ht="13.5">
      <c r="A19">
        <v>2</v>
      </c>
      <c r="B19" t="s">
        <v>420</v>
      </c>
    </row>
    <row r="20" spans="1:2" ht="13.5">
      <c r="A20">
        <v>3</v>
      </c>
      <c r="B20" t="s">
        <v>419</v>
      </c>
    </row>
    <row r="21" ht="13.5">
      <c r="B21" s="231">
        <v>1</v>
      </c>
    </row>
    <row r="22" spans="2:5" ht="13.5">
      <c r="B22" t="str">
        <f>IF(B21=1,B18,B19)</f>
        <v>無筋コンクリート</v>
      </c>
      <c r="E22" t="str">
        <f>IF(B21=2,"SD345","SD295A")</f>
        <v>SD295A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O58"/>
  <sheetViews>
    <sheetView showGridLines="0" tabSelected="1" zoomScalePageLayoutView="0" workbookViewId="0" topLeftCell="D1">
      <selection activeCell="E16" sqref="E16"/>
    </sheetView>
  </sheetViews>
  <sheetFormatPr defaultColWidth="9" defaultRowHeight="14.25"/>
  <cols>
    <col min="1" max="22" width="9" style="267" customWidth="1"/>
    <col min="23" max="23" width="13" style="267" customWidth="1"/>
    <col min="24" max="61" width="9" style="267" customWidth="1"/>
    <col min="62" max="62" width="9.796875" style="305" customWidth="1"/>
    <col min="63" max="63" width="9" style="305" customWidth="1"/>
    <col min="64" max="64" width="13" style="305" customWidth="1"/>
    <col min="65" max="65" width="9" style="305" customWidth="1"/>
    <col min="66" max="66" width="12.09765625" style="305" customWidth="1"/>
    <col min="67" max="16384" width="9" style="267" customWidth="1"/>
  </cols>
  <sheetData>
    <row r="1" spans="1:67" ht="15">
      <c r="A1" s="265"/>
      <c r="B1" s="266" t="s">
        <v>136</v>
      </c>
      <c r="C1" s="265"/>
      <c r="D1" s="265" t="s">
        <v>495</v>
      </c>
      <c r="E1" s="265">
        <v>0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15"/>
      <c r="BJ1" s="302"/>
      <c r="BK1" s="302"/>
      <c r="BL1" s="302"/>
      <c r="BM1" s="302"/>
      <c r="BN1" s="302"/>
      <c r="BO1" s="265"/>
    </row>
    <row r="2" spans="1:67" ht="15">
      <c r="A2" s="265"/>
      <c r="B2" s="268" t="s">
        <v>11</v>
      </c>
      <c r="C2" s="269" t="s">
        <v>58</v>
      </c>
      <c r="D2" s="270" t="s">
        <v>385</v>
      </c>
      <c r="E2" s="235">
        <v>9.2</v>
      </c>
      <c r="F2" s="265" t="s">
        <v>208</v>
      </c>
      <c r="G2" s="272" t="s">
        <v>434</v>
      </c>
      <c r="H2" s="265"/>
      <c r="I2" s="265"/>
      <c r="J2" s="265"/>
      <c r="K2" s="265" t="str">
        <f>"q="&amp;q&amp;"kN/m2"</f>
        <v>q=0kN/m2</v>
      </c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15"/>
      <c r="BJ2" s="302"/>
      <c r="BK2" s="302"/>
      <c r="BL2" s="102" t="str">
        <f>"μ="&amp;μ</f>
        <v>μ=0.7</v>
      </c>
      <c r="BM2" s="302"/>
      <c r="BN2" s="302"/>
      <c r="BO2" s="15"/>
    </row>
    <row r="3" spans="1:67" ht="16.5">
      <c r="A3" s="265"/>
      <c r="B3" s="271"/>
      <c r="C3" s="269" t="s">
        <v>60</v>
      </c>
      <c r="D3" s="270" t="s">
        <v>396</v>
      </c>
      <c r="E3" s="235">
        <v>0.4</v>
      </c>
      <c r="F3" s="265" t="s">
        <v>208</v>
      </c>
      <c r="G3" s="272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15"/>
      <c r="BJ3" s="102" t="str">
        <f>"γ="&amp;γs&amp;"kN/m3"</f>
        <v>γ=19kN/m3</v>
      </c>
      <c r="BK3" s="302"/>
      <c r="BL3" s="102" t="str">
        <f>"qd="&amp;qd&amp;"kN/m2"</f>
        <v>qd=900kN/m2</v>
      </c>
      <c r="BM3" s="302"/>
      <c r="BN3" s="302"/>
      <c r="BO3" s="15"/>
    </row>
    <row r="4" spans="1:67" ht="15">
      <c r="A4" s="265"/>
      <c r="B4" s="271"/>
      <c r="C4" s="269" t="s">
        <v>62</v>
      </c>
      <c r="D4" s="270" t="s">
        <v>386</v>
      </c>
      <c r="E4" s="235">
        <f>E2*(E5-0.1)+E3</f>
        <v>3.16</v>
      </c>
      <c r="F4" s="265" t="s">
        <v>208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15"/>
      <c r="BJ4" s="102" t="str">
        <f>"φ="&amp;Fai&amp;"゜"</f>
        <v>φ=30゜</v>
      </c>
      <c r="BK4" s="302"/>
      <c r="BL4" s="302" t="str">
        <f>IF(data!B21=1,"無筋",BN4)</f>
        <v>無筋</v>
      </c>
      <c r="BM4" s="302"/>
      <c r="BN4" s="302" t="str">
        <f>"D"&amp;E24&amp;"@"&amp;E25&amp;"mm"</f>
        <v>D@250mm</v>
      </c>
      <c r="BO4" s="15"/>
    </row>
    <row r="5" spans="1:67" ht="15">
      <c r="A5" s="265"/>
      <c r="B5" s="271"/>
      <c r="C5" s="269" t="s">
        <v>100</v>
      </c>
      <c r="D5" s="273" t="s">
        <v>395</v>
      </c>
      <c r="E5" s="235">
        <v>0.4</v>
      </c>
      <c r="F5" s="265"/>
      <c r="G5" s="265"/>
      <c r="H5" s="265"/>
      <c r="I5" s="265"/>
      <c r="J5" s="265"/>
      <c r="K5" s="265"/>
      <c r="L5" s="265"/>
      <c r="M5" s="266" t="s">
        <v>384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15"/>
      <c r="BJ5" s="102" t="str">
        <f>"c="&amp;cu&amp;"kN/m2"</f>
        <v>c=0kN/m2</v>
      </c>
      <c r="BK5" s="302"/>
      <c r="BL5" s="302"/>
      <c r="BM5" s="302"/>
      <c r="BN5" s="302"/>
      <c r="BO5" s="15"/>
    </row>
    <row r="6" spans="1:67" ht="16.5">
      <c r="A6" s="265"/>
      <c r="B6" s="271"/>
      <c r="C6" s="274" t="s">
        <v>137</v>
      </c>
      <c r="D6" s="275" t="s">
        <v>387</v>
      </c>
      <c r="E6" s="235">
        <v>10</v>
      </c>
      <c r="F6" s="265" t="s">
        <v>138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15"/>
      <c r="BJ6" s="302" t="str">
        <f>"H="&amp;E2&amp;"m"</f>
        <v>H=9.2m</v>
      </c>
      <c r="BK6" s="302"/>
      <c r="BL6" s="302"/>
      <c r="BM6" s="302"/>
      <c r="BN6" s="302"/>
      <c r="BO6" s="15"/>
    </row>
    <row r="7" spans="1:67" ht="16.5">
      <c r="A7" s="265"/>
      <c r="B7" s="268" t="s">
        <v>139</v>
      </c>
      <c r="C7" s="269" t="s">
        <v>66</v>
      </c>
      <c r="D7" s="270" t="s">
        <v>397</v>
      </c>
      <c r="E7" s="235">
        <v>0</v>
      </c>
      <c r="F7" s="265" t="s">
        <v>138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15"/>
      <c r="BJ7" s="302" t="str">
        <f>"Ho="&amp;Ho&amp;"m"</f>
        <v>Ho=0m</v>
      </c>
      <c r="BK7" s="302"/>
      <c r="BL7" s="302"/>
      <c r="BM7" s="302"/>
      <c r="BN7" s="302"/>
      <c r="BO7" s="15"/>
    </row>
    <row r="8" spans="1:67" ht="15">
      <c r="A8" s="265"/>
      <c r="B8" s="271"/>
      <c r="C8" s="269" t="s">
        <v>209</v>
      </c>
      <c r="D8" s="273" t="s">
        <v>394</v>
      </c>
      <c r="E8" s="235">
        <v>0</v>
      </c>
      <c r="F8" s="265" t="s">
        <v>140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15"/>
      <c r="BJ8" s="302" t="str">
        <f>"1:"&amp;E5</f>
        <v>1:0.4</v>
      </c>
      <c r="BK8" s="302"/>
      <c r="BL8" s="302"/>
      <c r="BM8" s="302"/>
      <c r="BN8" s="302"/>
      <c r="BO8" s="15"/>
    </row>
    <row r="9" spans="1:67" ht="18">
      <c r="A9" s="265"/>
      <c r="B9" s="271"/>
      <c r="C9" s="269" t="s">
        <v>70</v>
      </c>
      <c r="D9" s="276" t="s">
        <v>141</v>
      </c>
      <c r="E9" s="235">
        <v>19</v>
      </c>
      <c r="F9" s="265" t="s">
        <v>210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15"/>
      <c r="BJ9" s="302" t="str">
        <f>"1:"&amp;m</f>
        <v>1:0</v>
      </c>
      <c r="BK9" s="302"/>
      <c r="BL9" s="302"/>
      <c r="BM9" s="302"/>
      <c r="BN9" s="302"/>
      <c r="BO9" s="15"/>
    </row>
    <row r="10" spans="1:67" ht="15">
      <c r="A10" s="265"/>
      <c r="B10" s="271"/>
      <c r="C10" s="277" t="s">
        <v>72</v>
      </c>
      <c r="D10" s="276" t="s">
        <v>211</v>
      </c>
      <c r="E10" s="235">
        <v>30</v>
      </c>
      <c r="F10" s="266" t="s">
        <v>212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15"/>
      <c r="BJ10" s="302" t="str">
        <f>"B="&amp;B&amp;"m"</f>
        <v>B=3.16m</v>
      </c>
      <c r="BK10" s="302"/>
      <c r="BL10" s="302"/>
      <c r="BM10" s="302"/>
      <c r="BN10" s="302"/>
      <c r="BO10" s="15"/>
    </row>
    <row r="11" spans="1:67" ht="18">
      <c r="A11" s="265"/>
      <c r="B11" s="271"/>
      <c r="C11" s="278" t="s">
        <v>74</v>
      </c>
      <c r="D11" s="275" t="s">
        <v>390</v>
      </c>
      <c r="E11" s="235">
        <v>0</v>
      </c>
      <c r="F11" s="265" t="s">
        <v>213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15"/>
      <c r="BJ11" s="302" t="str">
        <f>"bu="&amp;bu&amp;"m"</f>
        <v>bu=0.4m</v>
      </c>
      <c r="BK11" s="302"/>
      <c r="BL11" s="302"/>
      <c r="BM11" s="302"/>
      <c r="BN11" s="302"/>
      <c r="BO11" s="15"/>
    </row>
    <row r="12" spans="1:67" ht="18">
      <c r="A12" s="265"/>
      <c r="B12" s="274" t="s">
        <v>214</v>
      </c>
      <c r="C12" s="279" t="s">
        <v>215</v>
      </c>
      <c r="D12" s="270" t="s">
        <v>391</v>
      </c>
      <c r="E12" s="235">
        <v>0</v>
      </c>
      <c r="F12" s="265" t="s">
        <v>216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15"/>
      <c r="BJ12" s="302" t="str">
        <f>"Df="&amp;Df&amp;"m"</f>
        <v>Df=0m</v>
      </c>
      <c r="BK12" s="302"/>
      <c r="BL12" s="302"/>
      <c r="BM12" s="302"/>
      <c r="BN12" s="302"/>
      <c r="BO12" s="15"/>
    </row>
    <row r="13" spans="1:67" ht="16.5">
      <c r="A13" s="265"/>
      <c r="B13" s="278"/>
      <c r="C13" s="277" t="s">
        <v>217</v>
      </c>
      <c r="D13" s="270" t="s">
        <v>392</v>
      </c>
      <c r="E13" s="235">
        <v>0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15"/>
      <c r="BJ13" s="303"/>
      <c r="BK13" s="302"/>
      <c r="BL13" s="302"/>
      <c r="BM13" s="302"/>
      <c r="BN13" s="302"/>
      <c r="BO13" s="15"/>
    </row>
    <row r="14" spans="1:67" ht="15">
      <c r="A14" s="265"/>
      <c r="B14" s="265"/>
      <c r="C14" s="274" t="s">
        <v>142</v>
      </c>
      <c r="D14" s="273"/>
      <c r="E14" s="23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15"/>
      <c r="BJ14" s="303"/>
      <c r="BK14" s="303"/>
      <c r="BL14" s="303"/>
      <c r="BM14" s="302"/>
      <c r="BN14" s="302"/>
      <c r="BO14" s="15"/>
    </row>
    <row r="15" spans="1:67" ht="15">
      <c r="A15" s="265"/>
      <c r="B15" s="274" t="s">
        <v>218</v>
      </c>
      <c r="C15" s="274" t="s">
        <v>143</v>
      </c>
      <c r="D15" s="276" t="s">
        <v>144</v>
      </c>
      <c r="E15" s="235">
        <v>0.7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15"/>
      <c r="BJ15" s="303"/>
      <c r="BK15" s="303"/>
      <c r="BL15" s="303"/>
      <c r="BM15" s="302"/>
      <c r="BN15" s="302"/>
      <c r="BO15" s="15"/>
    </row>
    <row r="16" spans="1:67" ht="18">
      <c r="A16" s="265"/>
      <c r="B16" s="269"/>
      <c r="C16" s="280" t="s">
        <v>107</v>
      </c>
      <c r="D16" s="270" t="s">
        <v>389</v>
      </c>
      <c r="E16" s="235">
        <v>900</v>
      </c>
      <c r="F16" s="265" t="s">
        <v>219</v>
      </c>
      <c r="G16" s="265"/>
      <c r="H16" s="265"/>
      <c r="I16" s="265"/>
      <c r="J16" s="265"/>
      <c r="K16" s="266" t="s">
        <v>134</v>
      </c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15"/>
      <c r="BJ16" s="302"/>
      <c r="BK16" s="302"/>
      <c r="BL16" s="302"/>
      <c r="BM16" s="302"/>
      <c r="BN16" s="302"/>
      <c r="BO16" s="15"/>
    </row>
    <row r="17" spans="1:64" ht="16.5">
      <c r="A17" s="265"/>
      <c r="B17" s="266" t="s">
        <v>145</v>
      </c>
      <c r="C17" s="281" t="s">
        <v>101</v>
      </c>
      <c r="D17" s="275" t="s">
        <v>393</v>
      </c>
      <c r="E17" s="235">
        <v>0</v>
      </c>
      <c r="F17" s="265" t="s">
        <v>146</v>
      </c>
      <c r="G17" s="265"/>
      <c r="H17" s="265"/>
      <c r="I17" s="265"/>
      <c r="J17" s="265"/>
      <c r="K17" s="282" t="s">
        <v>220</v>
      </c>
      <c r="L17" s="236">
        <v>100</v>
      </c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304"/>
      <c r="BK17" s="304"/>
      <c r="BL17" s="304"/>
    </row>
    <row r="18" spans="1:42" ht="18">
      <c r="A18" s="265"/>
      <c r="B18" s="265"/>
      <c r="C18" s="281" t="s">
        <v>221</v>
      </c>
      <c r="D18" s="276" t="s">
        <v>222</v>
      </c>
      <c r="E18" s="235">
        <v>18</v>
      </c>
      <c r="F18" s="265" t="s">
        <v>223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</row>
    <row r="19" spans="1:26" ht="16.5">
      <c r="A19" s="265"/>
      <c r="B19" s="265"/>
      <c r="C19" s="281" t="s">
        <v>147</v>
      </c>
      <c r="D19" s="276" t="s">
        <v>224</v>
      </c>
      <c r="E19" s="235">
        <v>30</v>
      </c>
      <c r="F19" s="266" t="s">
        <v>212</v>
      </c>
      <c r="G19" s="265"/>
      <c r="H19" s="265"/>
      <c r="I19" s="265"/>
      <c r="J19" s="265"/>
      <c r="K19" s="265"/>
      <c r="L19" s="266" t="s">
        <v>225</v>
      </c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ht="18">
      <c r="A20" s="265"/>
      <c r="B20" s="265"/>
      <c r="C20" s="281" t="s">
        <v>110</v>
      </c>
      <c r="D20" s="275" t="s">
        <v>388</v>
      </c>
      <c r="E20" s="235">
        <v>0</v>
      </c>
      <c r="F20" s="265" t="s">
        <v>226</v>
      </c>
      <c r="G20" s="265"/>
      <c r="H20" s="265"/>
      <c r="I20" s="265"/>
      <c r="J20" s="265"/>
      <c r="K20" s="265"/>
      <c r="L20" s="355" t="s">
        <v>148</v>
      </c>
      <c r="M20" s="356"/>
      <c r="N20" s="283" t="s">
        <v>102</v>
      </c>
      <c r="O20" s="283" t="s">
        <v>103</v>
      </c>
      <c r="P20" s="284" t="s">
        <v>104</v>
      </c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ht="18">
      <c r="A21" s="265"/>
      <c r="B21" s="289" t="s">
        <v>470</v>
      </c>
      <c r="C21" s="266" t="s">
        <v>471</v>
      </c>
      <c r="D21" s="276"/>
      <c r="E21" s="236">
        <v>18</v>
      </c>
      <c r="F21" s="265" t="s">
        <v>227</v>
      </c>
      <c r="G21" s="265"/>
      <c r="H21" s="265"/>
      <c r="I21" s="265"/>
      <c r="J21" s="265"/>
      <c r="K21" s="265"/>
      <c r="L21" s="285" t="s">
        <v>149</v>
      </c>
      <c r="M21" s="285" t="s">
        <v>150</v>
      </c>
      <c r="N21" s="286">
        <f>'計算'!D241</f>
        <v>3.35</v>
      </c>
      <c r="O21" s="287">
        <f>IF(P&gt;0,1.5,IF(Kh&gt;0,1.5,3))</f>
        <v>3</v>
      </c>
      <c r="P21" s="288" t="str">
        <f>IF(N21&gt;=O21,"OK","OUT")</f>
        <v>OK</v>
      </c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ht="18">
      <c r="A22" s="265"/>
      <c r="B22" s="266"/>
      <c r="C22" s="266" t="s">
        <v>472</v>
      </c>
      <c r="D22" s="276"/>
      <c r="E22" s="236">
        <v>23</v>
      </c>
      <c r="F22" s="265" t="s">
        <v>405</v>
      </c>
      <c r="G22" s="265"/>
      <c r="H22" s="265"/>
      <c r="I22" s="265"/>
      <c r="J22" s="265"/>
      <c r="K22" s="265"/>
      <c r="L22" s="285" t="s">
        <v>105</v>
      </c>
      <c r="M22" s="285" t="s">
        <v>228</v>
      </c>
      <c r="N22" s="286">
        <f>'計算'!D242</f>
        <v>1.49</v>
      </c>
      <c r="O22" s="287">
        <f>IF(P&gt;0,1.2,IF(Kh&gt;0,1.2,1.5))</f>
        <v>1.5</v>
      </c>
      <c r="P22" s="288" t="str">
        <f>IF(N22&gt;=O22,"OK","OUT")</f>
        <v>OUT</v>
      </c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ht="15">
      <c r="A23" s="265"/>
      <c r="B23" s="265"/>
      <c r="C23" s="272" t="s">
        <v>417</v>
      </c>
      <c r="D23" s="265"/>
      <c r="E23" s="257"/>
      <c r="F23" s="265"/>
      <c r="G23" s="265"/>
      <c r="H23" s="265"/>
      <c r="I23" s="265"/>
      <c r="J23" s="265"/>
      <c r="K23" s="265"/>
      <c r="L23" s="290" t="s">
        <v>229</v>
      </c>
      <c r="M23" s="285" t="s">
        <v>106</v>
      </c>
      <c r="N23" s="291">
        <f>'計算'!D243</f>
        <v>3.51</v>
      </c>
      <c r="O23" s="292">
        <f>IF(P&gt;0,2,IF(Kh&gt;0,2,3))</f>
        <v>3</v>
      </c>
      <c r="P23" s="288" t="str">
        <f>IF(N23&gt;=O23,"OK","OUT")</f>
        <v>OK</v>
      </c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ht="15">
      <c r="A24" s="265"/>
      <c r="B24" s="272" t="s">
        <v>373</v>
      </c>
      <c r="C24" s="289" t="s">
        <v>418</v>
      </c>
      <c r="D24" s="289"/>
      <c r="E24" s="308"/>
      <c r="F24" s="297"/>
      <c r="G24" s="265"/>
      <c r="H24" s="265"/>
      <c r="I24" s="265"/>
      <c r="J24" s="265"/>
      <c r="K24" s="265"/>
      <c r="L24" s="266" t="s">
        <v>135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ht="15">
      <c r="A25" s="265"/>
      <c r="B25" s="265"/>
      <c r="C25" s="265"/>
      <c r="D25" s="289" t="s">
        <v>370</v>
      </c>
      <c r="E25" s="307">
        <v>250</v>
      </c>
      <c r="F25" s="265" t="s">
        <v>369</v>
      </c>
      <c r="G25" s="265"/>
      <c r="H25" s="265"/>
      <c r="I25" s="265"/>
      <c r="J25" s="265"/>
      <c r="K25" s="265"/>
      <c r="L25" s="285" t="s">
        <v>151</v>
      </c>
      <c r="M25" s="285" t="s">
        <v>152</v>
      </c>
      <c r="N25" s="285" t="s">
        <v>153</v>
      </c>
      <c r="O25" s="285" t="s">
        <v>104</v>
      </c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ht="13.5">
      <c r="A26" s="265"/>
      <c r="B26" s="265"/>
      <c r="C26" s="265"/>
      <c r="D26" s="289" t="s">
        <v>371</v>
      </c>
      <c r="E26" s="236">
        <v>70</v>
      </c>
      <c r="F26" s="265" t="s">
        <v>369</v>
      </c>
      <c r="G26" s="265"/>
      <c r="H26" s="265"/>
      <c r="I26" s="265"/>
      <c r="J26" s="265"/>
      <c r="K26" s="265"/>
      <c r="L26" s="285" t="str">
        <f>IF('計算'!S45=1,"圧縮応力","ｺﾝｸﾘｰﾄ")</f>
        <v>圧縮応力</v>
      </c>
      <c r="M26" s="286">
        <f>IF('計算'!S45=1,'計算'!D432,'計算'!D506)</f>
        <v>0.2554713222437143</v>
      </c>
      <c r="N26" s="286">
        <f>'計算'!G432</f>
        <v>4.5</v>
      </c>
      <c r="O26" s="293" t="str">
        <f>'計算'!I432</f>
        <v>SAFE</v>
      </c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ht="13.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85" t="str">
        <f>IF('計算'!S45=1,"引張応力","鉄筋")</f>
        <v>引張応力</v>
      </c>
      <c r="M27" s="286">
        <f>IF('計算'!S45=1,ABS('計算'!D433),'計算'!D507)</f>
        <v>0</v>
      </c>
      <c r="N27" s="286">
        <f>IF('計算'!S45=1,ABS('計算'!G433),σsa)</f>
        <v>0.225</v>
      </c>
      <c r="O27" s="293" t="str">
        <f>IF(M27&lt;=N27,"SAFE","OUT")</f>
        <v>SAFE</v>
      </c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ht="13.5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85" t="s">
        <v>155</v>
      </c>
      <c r="M28" s="286">
        <f>'計算'!D434</f>
        <v>0.06375161753897936</v>
      </c>
      <c r="N28" s="286">
        <f>'計算'!G434</f>
        <v>0.32999999999999996</v>
      </c>
      <c r="O28" s="293" t="str">
        <f>'計算'!I434</f>
        <v>SAFE</v>
      </c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ht="13.5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94">
        <f>IF(O27="OUT","壁を厚くするか，鉄筋コンクリートとして計算して下さい","")</f>
      </c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ht="13.5">
      <c r="A30" s="265"/>
      <c r="B30" s="346"/>
      <c r="C30" s="265"/>
      <c r="D30" s="265"/>
      <c r="E30" s="265"/>
      <c r="F30" s="265"/>
      <c r="G30" s="265"/>
      <c r="H30" s="272" t="s">
        <v>403</v>
      </c>
      <c r="I30" s="265"/>
      <c r="J30" s="265"/>
      <c r="K30" s="265"/>
      <c r="L30" s="294">
        <f>IF(d&lt;=0,"転倒するため計算不能","")</f>
      </c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ht="13.5">
      <c r="A31" s="347"/>
      <c r="B31" s="348"/>
      <c r="C31" s="347"/>
      <c r="D31" s="347"/>
      <c r="E31" s="347"/>
      <c r="F31" s="347"/>
      <c r="G31" s="347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ht="13.5">
      <c r="A32" s="347"/>
      <c r="B32" s="357"/>
      <c r="C32" s="357"/>
      <c r="D32" s="357"/>
      <c r="E32" s="357"/>
      <c r="F32" s="357"/>
      <c r="G32" s="347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ht="14.25" customHeight="1">
      <c r="A33" s="347"/>
      <c r="B33" s="349"/>
      <c r="C33" s="350"/>
      <c r="D33" s="351"/>
      <c r="E33" s="351"/>
      <c r="F33" s="351"/>
      <c r="G33" s="347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ht="34.5" customHeight="1">
      <c r="A34" s="347"/>
      <c r="B34" s="358"/>
      <c r="C34" s="358"/>
      <c r="D34" s="358"/>
      <c r="E34" s="358"/>
      <c r="F34" s="358"/>
      <c r="G34" s="347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ht="15.75">
      <c r="A35" s="347"/>
      <c r="B35" s="352"/>
      <c r="C35" s="353"/>
      <c r="D35" s="354"/>
      <c r="E35" s="354"/>
      <c r="F35" s="354"/>
      <c r="G35" s="347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ht="15.75">
      <c r="A36" s="347"/>
      <c r="B36" s="352"/>
      <c r="C36" s="353"/>
      <c r="D36" s="354"/>
      <c r="E36" s="354"/>
      <c r="F36" s="354"/>
      <c r="G36" s="347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ht="13.5">
      <c r="A37" s="297"/>
      <c r="B37" s="297"/>
      <c r="C37" s="297"/>
      <c r="D37" s="297"/>
      <c r="E37" s="297"/>
      <c r="F37" s="297"/>
      <c r="G37" s="297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ht="13.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ht="13.5">
      <c r="A39" s="265"/>
      <c r="B39" s="265"/>
      <c r="C39" s="265"/>
      <c r="D39" s="265"/>
      <c r="E39" s="265"/>
      <c r="F39" s="265"/>
      <c r="G39" s="265"/>
      <c r="H39" s="265"/>
      <c r="I39" s="265"/>
      <c r="J39" s="296"/>
      <c r="K39" s="297"/>
      <c r="L39" s="297"/>
      <c r="M39" s="297"/>
      <c r="N39" s="297"/>
      <c r="O39" s="297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6" ht="17.25">
      <c r="A40" s="265"/>
      <c r="B40" s="295"/>
      <c r="C40" s="265"/>
      <c r="D40" s="265"/>
      <c r="E40" s="265"/>
      <c r="F40" s="265"/>
    </row>
    <row r="42" spans="2:7" ht="12.75">
      <c r="B42" s="333" t="s">
        <v>473</v>
      </c>
      <c r="C42" s="334"/>
      <c r="D42" s="335"/>
      <c r="E42" s="334"/>
      <c r="F42" s="334"/>
      <c r="G42" s="334"/>
    </row>
    <row r="43" spans="2:7" ht="12.75">
      <c r="B43" s="336" t="s">
        <v>474</v>
      </c>
      <c r="C43" s="336" t="s">
        <v>475</v>
      </c>
      <c r="D43" s="336" t="s">
        <v>476</v>
      </c>
      <c r="E43" s="334"/>
      <c r="F43" s="334"/>
      <c r="G43" s="334"/>
    </row>
    <row r="44" spans="2:7" ht="12.75">
      <c r="B44" s="336" t="s">
        <v>477</v>
      </c>
      <c r="C44" s="336">
        <v>20</v>
      </c>
      <c r="D44" s="336">
        <v>35</v>
      </c>
      <c r="E44" s="334"/>
      <c r="F44" s="334"/>
      <c r="G44" s="334"/>
    </row>
    <row r="45" spans="2:7" ht="12.75">
      <c r="B45" s="337" t="s">
        <v>478</v>
      </c>
      <c r="C45" s="337">
        <v>19</v>
      </c>
      <c r="D45" s="337">
        <v>30</v>
      </c>
      <c r="E45" s="334"/>
      <c r="F45" s="334"/>
      <c r="G45" s="334"/>
    </row>
    <row r="46" spans="2:7" ht="12.75">
      <c r="B46" s="338" t="s">
        <v>479</v>
      </c>
      <c r="C46" s="338">
        <v>18</v>
      </c>
      <c r="D46" s="338">
        <v>25</v>
      </c>
      <c r="E46" s="334"/>
      <c r="F46" s="334"/>
      <c r="G46" s="334"/>
    </row>
    <row r="47" spans="2:7" ht="12.75">
      <c r="B47" s="339"/>
      <c r="C47" s="339"/>
      <c r="D47" s="339"/>
      <c r="E47" s="334"/>
      <c r="F47" s="334"/>
      <c r="G47" s="334"/>
    </row>
    <row r="48" spans="2:7" ht="12.75">
      <c r="B48" s="340" t="s">
        <v>480</v>
      </c>
      <c r="F48" s="334"/>
      <c r="G48" s="334"/>
    </row>
    <row r="49" spans="2:7" ht="12.75">
      <c r="B49" s="359" t="s">
        <v>481</v>
      </c>
      <c r="C49" s="360"/>
      <c r="D49" s="341" t="s">
        <v>482</v>
      </c>
      <c r="E49" s="341" t="s">
        <v>483</v>
      </c>
      <c r="F49" s="334"/>
      <c r="G49" s="334"/>
    </row>
    <row r="50" spans="2:7" ht="12.75">
      <c r="B50" s="342" t="s">
        <v>484</v>
      </c>
      <c r="C50" s="343"/>
      <c r="D50" s="337">
        <v>1000</v>
      </c>
      <c r="E50" s="337">
        <v>0.7</v>
      </c>
      <c r="F50" s="334"/>
      <c r="G50" s="334"/>
    </row>
    <row r="51" spans="2:7" ht="12.75">
      <c r="B51" s="342" t="s">
        <v>485</v>
      </c>
      <c r="C51" s="343"/>
      <c r="D51" s="337">
        <v>600</v>
      </c>
      <c r="E51" s="337">
        <v>0.7</v>
      </c>
      <c r="F51" s="334"/>
      <c r="G51" s="334"/>
    </row>
    <row r="52" spans="2:7" ht="12.75">
      <c r="B52" s="342" t="s">
        <v>486</v>
      </c>
      <c r="C52" s="343"/>
      <c r="D52" s="337">
        <v>300</v>
      </c>
      <c r="E52" s="337">
        <v>0.7</v>
      </c>
      <c r="F52" s="334"/>
      <c r="G52" s="334"/>
    </row>
    <row r="53" spans="2:7" ht="12.75">
      <c r="B53" s="342" t="s">
        <v>487</v>
      </c>
      <c r="C53" s="343"/>
      <c r="D53" s="337">
        <v>600</v>
      </c>
      <c r="E53" s="337">
        <v>0.6</v>
      </c>
      <c r="F53" s="334"/>
      <c r="G53" s="334"/>
    </row>
    <row r="54" spans="2:7" ht="12.75">
      <c r="B54" s="342" t="s">
        <v>488</v>
      </c>
      <c r="C54" s="343"/>
      <c r="D54" s="337">
        <v>300</v>
      </c>
      <c r="E54" s="337">
        <v>0.6</v>
      </c>
      <c r="F54" s="334"/>
      <c r="G54" s="334"/>
    </row>
    <row r="55" spans="2:7" ht="12.75">
      <c r="B55" s="342" t="s">
        <v>489</v>
      </c>
      <c r="C55" s="343"/>
      <c r="D55" s="337">
        <v>300</v>
      </c>
      <c r="E55" s="337">
        <v>0.6</v>
      </c>
      <c r="F55" s="334"/>
      <c r="G55" s="334"/>
    </row>
    <row r="56" spans="2:7" ht="12.75">
      <c r="B56" s="342" t="s">
        <v>490</v>
      </c>
      <c r="C56" s="343"/>
      <c r="D56" s="337">
        <v>200</v>
      </c>
      <c r="E56" s="337">
        <v>0.6</v>
      </c>
      <c r="F56" s="334"/>
      <c r="G56" s="334"/>
    </row>
    <row r="57" spans="2:7" ht="12.75">
      <c r="B57" s="342" t="s">
        <v>491</v>
      </c>
      <c r="C57" s="343"/>
      <c r="D57" s="337">
        <v>200</v>
      </c>
      <c r="E57" s="337">
        <v>0.5</v>
      </c>
      <c r="F57" s="334"/>
      <c r="G57" s="334"/>
    </row>
    <row r="58" spans="2:7" ht="12.75">
      <c r="B58" s="344" t="s">
        <v>492</v>
      </c>
      <c r="C58" s="345"/>
      <c r="D58" s="338">
        <v>100</v>
      </c>
      <c r="E58" s="338">
        <v>0.5</v>
      </c>
      <c r="F58" s="334"/>
      <c r="G58" s="334"/>
    </row>
  </sheetData>
  <sheetProtection/>
  <mergeCells count="4">
    <mergeCell ref="L20:M20"/>
    <mergeCell ref="B32:F32"/>
    <mergeCell ref="B34:F34"/>
    <mergeCell ref="B49:C49"/>
  </mergeCells>
  <conditionalFormatting sqref="N21">
    <cfRule type="cellIs" priority="1" dxfId="9" operator="lessThan" stopIfTrue="1">
      <formula>$O$21</formula>
    </cfRule>
  </conditionalFormatting>
  <conditionalFormatting sqref="N22">
    <cfRule type="cellIs" priority="2" dxfId="9" operator="lessThan" stopIfTrue="1">
      <formula>$O$22</formula>
    </cfRule>
  </conditionalFormatting>
  <conditionalFormatting sqref="N23">
    <cfRule type="cellIs" priority="3" dxfId="9" operator="lessThan" stopIfTrue="1">
      <formula>$O$23</formula>
    </cfRule>
  </conditionalFormatting>
  <conditionalFormatting sqref="M26">
    <cfRule type="cellIs" priority="4" dxfId="9" operator="greaterThan" stopIfTrue="1">
      <formula>$N$26</formula>
    </cfRule>
  </conditionalFormatting>
  <conditionalFormatting sqref="M28">
    <cfRule type="cellIs" priority="5" dxfId="9" operator="greaterThan" stopIfTrue="1">
      <formula>$N$28</formula>
    </cfRule>
  </conditionalFormatting>
  <conditionalFormatting sqref="M27">
    <cfRule type="cellIs" priority="6" dxfId="9" operator="greaterThan" stopIfTrue="1">
      <formula>$N$27</formula>
    </cfRule>
  </conditionalFormatting>
  <printOptions/>
  <pageMargins left="0.75" right="0.75" top="1" bottom="1" header="0.512" footer="0.512"/>
  <pageSetup horizontalDpi="600" verticalDpi="600" orientation="landscape" paperSize="9" scale="90" r:id="rId4"/>
  <headerFooter alignWithMargins="0">
    <oddHeader>&amp;C&amp;9重力式擁壁１</oddHead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R564"/>
  <sheetViews>
    <sheetView showOutlineSymbols="0" zoomScalePageLayoutView="0" workbookViewId="0" topLeftCell="A501">
      <selection activeCell="J213" sqref="J213"/>
    </sheetView>
  </sheetViews>
  <sheetFormatPr defaultColWidth="9" defaultRowHeight="18" customHeight="1"/>
  <cols>
    <col min="1" max="1" width="9" style="246" customWidth="1"/>
    <col min="2" max="2" width="9.796875" style="13" customWidth="1"/>
    <col min="3" max="3" width="10" style="13" customWidth="1"/>
    <col min="4" max="4" width="9.8984375" style="13" customWidth="1"/>
    <col min="5" max="5" width="9.19921875" style="13" customWidth="1"/>
    <col min="6" max="6" width="9.796875" style="13" customWidth="1"/>
    <col min="7" max="7" width="8.8984375" style="13" customWidth="1"/>
    <col min="8" max="8" width="8.296875" style="13" customWidth="1"/>
    <col min="9" max="35" width="9.3984375" style="13" customWidth="1"/>
    <col min="36" max="38" width="9" style="13" customWidth="1"/>
    <col min="39" max="39" width="9.8984375" style="13" customWidth="1"/>
    <col min="40" max="40" width="9.09765625" style="13" customWidth="1"/>
    <col min="41" max="41" width="10.09765625" style="13" bestFit="1" customWidth="1"/>
    <col min="42" max="42" width="8.09765625" style="13" customWidth="1"/>
    <col min="43" max="16384" width="9" style="13" customWidth="1"/>
  </cols>
  <sheetData>
    <row r="1" spans="17:19" ht="18" customHeight="1">
      <c r="Q1" s="14"/>
      <c r="R1" s="14"/>
      <c r="S1" s="14"/>
    </row>
    <row r="2" spans="1:19" ht="18" customHeight="1">
      <c r="A2" s="181" t="s">
        <v>438</v>
      </c>
      <c r="B2" s="18"/>
      <c r="C2" s="15"/>
      <c r="D2" s="15"/>
      <c r="E2" s="15"/>
      <c r="F2" s="1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93" s="14" customFormat="1" ht="18" customHeight="1">
      <c r="A3" s="181"/>
      <c r="B3" s="18"/>
      <c r="C3" s="15"/>
      <c r="D3" s="15"/>
      <c r="E3" s="15"/>
      <c r="F3" s="19"/>
      <c r="AE3" s="155"/>
      <c r="AF3" s="24"/>
      <c r="AG3" s="24"/>
      <c r="AH3" s="24"/>
      <c r="AI3" s="24"/>
      <c r="AJ3" s="24"/>
      <c r="AK3" s="30"/>
      <c r="AL3" s="20"/>
      <c r="AM3" s="20"/>
      <c r="AN3" s="21"/>
      <c r="AO3" s="20"/>
      <c r="AP3" s="25"/>
      <c r="BY3" s="25"/>
      <c r="BZ3" s="13"/>
      <c r="CA3" s="13"/>
      <c r="CB3" s="13"/>
      <c r="CC3" s="13"/>
      <c r="CD3" s="95" t="s">
        <v>400</v>
      </c>
      <c r="CE3" s="95" t="s">
        <v>401</v>
      </c>
      <c r="CF3" s="95" t="s">
        <v>402</v>
      </c>
      <c r="CG3" s="95" t="s">
        <v>400</v>
      </c>
      <c r="CH3" s="95" t="s">
        <v>401</v>
      </c>
      <c r="CI3" s="95" t="s">
        <v>402</v>
      </c>
      <c r="CJ3" s="13"/>
      <c r="CK3" s="13"/>
      <c r="CL3" s="95" t="s">
        <v>400</v>
      </c>
      <c r="CM3" s="95" t="s">
        <v>401</v>
      </c>
      <c r="CN3" s="95" t="s">
        <v>402</v>
      </c>
      <c r="CO3" s="13"/>
    </row>
    <row r="4" spans="1:93" s="14" customFormat="1" ht="18" customHeight="1">
      <c r="A4" s="247" t="s">
        <v>435</v>
      </c>
      <c r="B4" s="18"/>
      <c r="C4" s="15" t="str">
        <f>IF(P&gt;0,"自動車衝突時",IF(Kh&gt;0,"地震時","常　時"))</f>
        <v>常　時</v>
      </c>
      <c r="D4" s="15"/>
      <c r="E4" s="15"/>
      <c r="F4" s="19"/>
      <c r="Q4" s="14" t="str">
        <f>C7&amp;Ha&amp;E7</f>
        <v>H=9.2m</v>
      </c>
      <c r="AE4" s="97"/>
      <c r="AF4" s="40"/>
      <c r="AG4" s="40"/>
      <c r="AH4" s="40"/>
      <c r="AI4" s="40"/>
      <c r="AJ4" s="40"/>
      <c r="AK4" s="26"/>
      <c r="AL4" s="89"/>
      <c r="AM4" s="66"/>
      <c r="AN4" s="66"/>
      <c r="AO4" s="66"/>
      <c r="AP4" s="25"/>
      <c r="BY4" s="25"/>
      <c r="BZ4" s="31" t="s">
        <v>13</v>
      </c>
      <c r="CA4" s="156" t="s">
        <v>14</v>
      </c>
      <c r="CB4" s="31" t="s">
        <v>15</v>
      </c>
      <c r="CC4" s="157" t="s">
        <v>61</v>
      </c>
      <c r="CD4" s="31" t="s">
        <v>16</v>
      </c>
      <c r="CE4" s="31" t="s">
        <v>17</v>
      </c>
      <c r="CF4" s="32" t="s">
        <v>18</v>
      </c>
      <c r="CG4" s="31" t="s">
        <v>19</v>
      </c>
      <c r="CH4" s="31" t="s">
        <v>20</v>
      </c>
      <c r="CI4" s="32" t="s">
        <v>21</v>
      </c>
      <c r="CJ4" s="33" t="s">
        <v>22</v>
      </c>
      <c r="CK4" s="14" t="s">
        <v>129</v>
      </c>
      <c r="CL4" s="14" t="s">
        <v>131</v>
      </c>
      <c r="CM4" s="14" t="s">
        <v>132</v>
      </c>
      <c r="CN4" s="14" t="s">
        <v>133</v>
      </c>
      <c r="CO4" s="14" t="s">
        <v>130</v>
      </c>
    </row>
    <row r="5" spans="1:93" s="14" customFormat="1" ht="18" customHeight="1">
      <c r="A5" s="246"/>
      <c r="B5" s="15"/>
      <c r="C5" s="15"/>
      <c r="D5" s="15"/>
      <c r="E5" s="15"/>
      <c r="F5" s="15"/>
      <c r="Q5" s="14" t="str">
        <f>C8&amp;bu&amp;E8</f>
        <v>bu=0.4m</v>
      </c>
      <c r="AE5" s="99"/>
      <c r="AF5" s="99"/>
      <c r="AG5" s="67"/>
      <c r="AH5" s="98"/>
      <c r="AI5" s="67"/>
      <c r="AJ5" s="98"/>
      <c r="AK5" s="26"/>
      <c r="AL5" s="89"/>
      <c r="AM5" s="66"/>
      <c r="AN5" s="66"/>
      <c r="AO5" s="66"/>
      <c r="AP5" s="25"/>
      <c r="BY5" s="25"/>
      <c r="BZ5" s="34">
        <f>(CB5/COS(θ)*SIN(CC5-φ+θ)-cu*CJ5*COS(φ))/COS(CC5-φ-δu-α)</f>
        <v>0</v>
      </c>
      <c r="CA5" s="35">
        <f>φ*180/PI()</f>
        <v>29.999999999999996</v>
      </c>
      <c r="CB5" s="34">
        <f>IF(β=0,CD5,IF(Hb=0,CD5,IF(shoul&lt;=0,CF5,IF(CC5&gt;ω0,CE5,CF5))))</f>
        <v>1312.2994133499828</v>
      </c>
      <c r="CC5" s="34">
        <f>CA5*PI()/180</f>
        <v>0.5235987755982988</v>
      </c>
      <c r="CD5" s="34">
        <f>1/2*γs*(Ha^2*COS(CC5-α)/COS(α)-zc^2*COS(CC5))/SIN(CC5)+CL5*q</f>
        <v>1312.2994133499828</v>
      </c>
      <c r="CE5" s="34">
        <f>1/2*γs*(Ha^2*COS(CC5-α)*COS(α-β)/(COS(α))^2-zc^2*COS(CC5)*COS(β))/SIN(CC5-β)</f>
        <v>1312.299413349983</v>
      </c>
      <c r="CF5" s="36" t="e">
        <f>1/2*γs*(H^2*COS(CC5-α)/SIN(CC5)-Ho^2*COS(α-β)/SIN(β)-zc^2*COS(α)/TAN(CC5))/COS(α)+CN5*q</f>
        <v>#DIV/0!</v>
      </c>
      <c r="CG5" s="130">
        <f>(Ha-zc)/SIN(CC5)</f>
        <v>18.400000000000002</v>
      </c>
      <c r="CH5" s="130">
        <f>1/SIN(CC5-β)*(COS(α-β)/COS(α)*Ha-COS(β)*zc)</f>
        <v>18.400000000000002</v>
      </c>
      <c r="CI5" s="130">
        <f>(Ho+Ha-zc)/SIN(CC5)</f>
        <v>18.400000000000002</v>
      </c>
      <c r="CJ5" s="130">
        <f>IF(β=0,CG5,IF(Ho=0,CG5,IF(shoul&lt;=0,CI5,IF(CC5&gt;=ω0,CH5,CI5))))</f>
        <v>18.400000000000002</v>
      </c>
      <c r="CK5" s="48">
        <f>BZ5</f>
        <v>0</v>
      </c>
      <c r="CL5" s="15">
        <f>Ha*(TAN(α)+1/TAN(CC5))-zc/TAN(CC5)</f>
        <v>15.014867429633671</v>
      </c>
      <c r="CM5" s="96">
        <v>0</v>
      </c>
      <c r="CN5" s="96" t="e">
        <f>(H-zc)/TAN(CC5)+Ha*TAN(α)-Ho/TAN(β)</f>
        <v>#DIV/0!</v>
      </c>
      <c r="CO5" s="14">
        <f>IF(Ho=0,CL5,IF(β=0,CL5,IF(CC5&lt;=ω0,CN5,CM5)))</f>
        <v>15.014867429633671</v>
      </c>
    </row>
    <row r="6" spans="1:93" s="14" customFormat="1" ht="18" customHeight="1">
      <c r="A6" s="247" t="s">
        <v>436</v>
      </c>
      <c r="B6" s="15"/>
      <c r="C6" s="15"/>
      <c r="D6" s="15"/>
      <c r="E6" s="15"/>
      <c r="F6" s="15"/>
      <c r="Q6" s="14" t="str">
        <f>C9&amp;B&amp;E9</f>
        <v>B=3.16m</v>
      </c>
      <c r="AE6" s="99"/>
      <c r="AF6" s="21"/>
      <c r="AG6" s="88"/>
      <c r="AH6" s="98"/>
      <c r="AI6" s="88"/>
      <c r="AJ6" s="98"/>
      <c r="AK6" s="26"/>
      <c r="AL6" s="89"/>
      <c r="AM6" s="66"/>
      <c r="AN6" s="90"/>
      <c r="AO6" s="66"/>
      <c r="AP6" s="25"/>
      <c r="BW6" s="14">
        <f>Ha</f>
        <v>9.2</v>
      </c>
      <c r="BY6" s="25"/>
      <c r="BZ6" s="34">
        <f>(CB6/COS(θ)*SIN(CC6-φ+θ)-cu*CJ6*COS(φ))/COS(CC6-φ-δu-α)</f>
        <v>22.555750517264414</v>
      </c>
      <c r="CA6" s="35">
        <f>CA5+1</f>
        <v>30.999999999999996</v>
      </c>
      <c r="CB6" s="34">
        <f aca="true" t="shared" si="0" ref="CB6:CB54">IF(β=0,CD6,IF(Hb=0,CD6,IF(shoul&lt;=0,CF6,IF(CC6&gt;ω0,CE6,CF6))))</f>
        <v>1257.805846168405</v>
      </c>
      <c r="CC6" s="34">
        <f>CA6*PI()/180</f>
        <v>0.541052068118242</v>
      </c>
      <c r="CD6" s="34">
        <f aca="true" t="shared" si="1" ref="CD6:CD19">1/2*γs*(Ha^2*COS(CC6-α)/COS(α)-zc^2*COS(CC6))/SIN(CC6)+CL6*q</f>
        <v>1257.805846168405</v>
      </c>
      <c r="CE6" s="34">
        <f aca="true" t="shared" si="2" ref="CE6:CE19">1/2*γs*(Ha^2*COS(CC6-α)*COS(α-β)/(COS(α))^2-zc^2*COS(CC6)*COS(β))/SIN(CC6-β)</f>
        <v>1257.805846168405</v>
      </c>
      <c r="CF6" s="36" t="e">
        <f aca="true" t="shared" si="3" ref="CF6:CF19">1/2*γs*(H^2*COS(CC6-α)/SIN(CC6)-Ho^2*COS(α-β)/SIN(β)-zc^2*COS(α)/TAN(CC6))/COS(α)+CN6*q</f>
        <v>#DIV/0!</v>
      </c>
      <c r="CG6" s="37">
        <f>(Ha-zc)/SIN(CC6)</f>
        <v>17.862757042975282</v>
      </c>
      <c r="CH6" s="37">
        <f>1/SIN(CC6-β)*(COS(α-β)/COS(α)*Ha-COS(β)*zc)</f>
        <v>17.862757042975282</v>
      </c>
      <c r="CI6" s="37">
        <f>(Ho+Ha-zc)/SIN(CC6)</f>
        <v>17.862757042975282</v>
      </c>
      <c r="CJ6" s="130">
        <f aca="true" t="shared" si="4" ref="CJ6:CJ54">IF(β=0,CG6,IF(Ho=0,CG6,IF(shoul&lt;=0,CI6,IF(CC6&gt;=ω0,CH6,CI6))))</f>
        <v>17.862757042975282</v>
      </c>
      <c r="CK6" s="48">
        <f aca="true" t="shared" si="5" ref="CK6:CK54">BZ6</f>
        <v>22.555750517264414</v>
      </c>
      <c r="CL6" s="15">
        <f aca="true" t="shared" si="6" ref="CL6:CL18">Ha*(TAN(α)+1/TAN(CC6))-zc/TAN(CC6)</f>
        <v>14.391371237624767</v>
      </c>
      <c r="CM6" s="15">
        <v>0</v>
      </c>
      <c r="CN6" s="14" t="e">
        <f aca="true" t="shared" si="7" ref="CN6:CN18">(H-zc)/TAN(CC6)+Ha*TAN(α)-Ho/TAN(β)</f>
        <v>#DIV/0!</v>
      </c>
      <c r="CO6" s="14">
        <f aca="true" t="shared" si="8" ref="CO6:CO18">IF(Ho=0,CL6,IF(β=0,CL6,IF(CC6&lt;=ω0,CN6,CM6)))</f>
        <v>14.391371237624767</v>
      </c>
    </row>
    <row r="7" spans="1:93" s="14" customFormat="1" ht="18" customHeight="1">
      <c r="A7" s="246"/>
      <c r="B7" s="243" t="s">
        <v>58</v>
      </c>
      <c r="C7" s="27" t="s">
        <v>444</v>
      </c>
      <c r="D7" s="213">
        <f>'入力'!E2</f>
        <v>9.2</v>
      </c>
      <c r="E7" s="30" t="s">
        <v>108</v>
      </c>
      <c r="F7" s="15"/>
      <c r="Q7" s="14" t="str">
        <f>D10</f>
        <v>1 : 0.4</v>
      </c>
      <c r="S7" s="101">
        <f>'入力'!E5</f>
        <v>0.4</v>
      </c>
      <c r="AE7" s="99"/>
      <c r="AF7" s="21"/>
      <c r="AG7" s="88"/>
      <c r="AH7" s="98"/>
      <c r="AI7" s="88"/>
      <c r="AJ7" s="98"/>
      <c r="AK7" s="26"/>
      <c r="AL7" s="89"/>
      <c r="AM7" s="66"/>
      <c r="AN7" s="66"/>
      <c r="AO7" s="66"/>
      <c r="AP7" s="25"/>
      <c r="BW7" s="14">
        <f>H</f>
        <v>9.2</v>
      </c>
      <c r="BY7" s="25"/>
      <c r="BZ7" s="34">
        <f>(CB7/COS(θ)*SIN(CC7-φ+θ)-cu*CJ7*COS(φ))/COS(CC7-φ-δu-α)</f>
        <v>43.089773080596224</v>
      </c>
      <c r="CA7" s="35">
        <f>CA6+1</f>
        <v>31.999999999999996</v>
      </c>
      <c r="CB7" s="34">
        <f t="shared" si="0"/>
        <v>1206.3889881113278</v>
      </c>
      <c r="CC7" s="34">
        <f>CA7*PI()/180</f>
        <v>0.5585053606381853</v>
      </c>
      <c r="CD7" s="34">
        <f t="shared" si="1"/>
        <v>1206.3889881113278</v>
      </c>
      <c r="CE7" s="34">
        <f t="shared" si="2"/>
        <v>1206.388988111328</v>
      </c>
      <c r="CF7" s="36" t="e">
        <f t="shared" si="3"/>
        <v>#DIV/0!</v>
      </c>
      <c r="CG7" s="37">
        <f>(Ha-zc)/SIN(CC7)</f>
        <v>17.361135216158697</v>
      </c>
      <c r="CH7" s="37">
        <f>1/SIN(CC7-β)*(COS(α-β)/COS(α)*Ha-COS(β)*zc)</f>
        <v>17.361135216158697</v>
      </c>
      <c r="CI7" s="37">
        <f>(Ho+Ha-zc)/SIN(CC7)</f>
        <v>17.361135216158697</v>
      </c>
      <c r="CJ7" s="130">
        <f t="shared" si="4"/>
        <v>17.361135216158697</v>
      </c>
      <c r="CK7" s="48">
        <f t="shared" si="5"/>
        <v>43.089773080596224</v>
      </c>
      <c r="CL7" s="15">
        <f t="shared" si="6"/>
        <v>13.803077667177666</v>
      </c>
      <c r="CM7" s="15">
        <v>0</v>
      </c>
      <c r="CN7" s="14" t="e">
        <f t="shared" si="7"/>
        <v>#DIV/0!</v>
      </c>
      <c r="CO7" s="14">
        <f t="shared" si="8"/>
        <v>13.803077667177666</v>
      </c>
    </row>
    <row r="8" spans="1:93" s="14" customFormat="1" ht="18" customHeight="1">
      <c r="A8" s="247"/>
      <c r="B8" s="243" t="s">
        <v>60</v>
      </c>
      <c r="C8" s="27" t="s">
        <v>411</v>
      </c>
      <c r="D8" s="213">
        <f>'入力'!E3</f>
        <v>0.4</v>
      </c>
      <c r="E8" s="30" t="s">
        <v>108</v>
      </c>
      <c r="F8" s="15"/>
      <c r="Q8" s="14" t="str">
        <f>D11</f>
        <v>1 : -0.1</v>
      </c>
      <c r="S8" s="14">
        <f>(B-Ha*n-bu)/Ha</f>
        <v>-0.09999999999999996</v>
      </c>
      <c r="AE8" s="99"/>
      <c r="AF8" s="21"/>
      <c r="AG8" s="88"/>
      <c r="AH8" s="98"/>
      <c r="AI8" s="88"/>
      <c r="AJ8" s="98"/>
      <c r="AK8" s="26"/>
      <c r="AL8" s="89"/>
      <c r="AM8" s="66"/>
      <c r="AN8" s="66"/>
      <c r="AO8" s="66"/>
      <c r="AP8" s="25"/>
      <c r="BY8" s="25"/>
      <c r="BZ8" s="34">
        <f>(CB8/COS(θ)*SIN(CC8-φ+θ)-cu*CJ8*COS(φ))/COS(CC8-φ-δu-α)</f>
        <v>61.78837450240777</v>
      </c>
      <c r="CA8" s="35">
        <f>CA7+1</f>
        <v>33</v>
      </c>
      <c r="CB8" s="34">
        <f t="shared" si="0"/>
        <v>1157.7666201040297</v>
      </c>
      <c r="CC8" s="34">
        <f>CA8*PI()/180</f>
        <v>0.5759586531581288</v>
      </c>
      <c r="CD8" s="34">
        <f t="shared" si="1"/>
        <v>1157.7666201040297</v>
      </c>
      <c r="CE8" s="34">
        <f t="shared" si="2"/>
        <v>1157.7666201040297</v>
      </c>
      <c r="CF8" s="36" t="e">
        <f t="shared" si="3"/>
        <v>#DIV/0!</v>
      </c>
      <c r="CG8" s="37">
        <f>(Ha-zc)/SIN(CC8)</f>
        <v>16.8919218207453</v>
      </c>
      <c r="CH8" s="37">
        <f>1/SIN(CC8-β)*(COS(α-β)/COS(α)*Ha-COS(β)*zc)</f>
        <v>16.8919218207453</v>
      </c>
      <c r="CI8" s="37">
        <f>(Ho+Ha-zc)/SIN(CC8)</f>
        <v>16.8919218207453</v>
      </c>
      <c r="CJ8" s="130">
        <f t="shared" si="4"/>
        <v>16.8919218207453</v>
      </c>
      <c r="CK8" s="48">
        <f t="shared" si="5"/>
        <v>61.78837450240777</v>
      </c>
      <c r="CL8" s="15">
        <f t="shared" si="6"/>
        <v>13.246757667094162</v>
      </c>
      <c r="CM8" s="15">
        <v>0</v>
      </c>
      <c r="CN8" s="14" t="e">
        <f t="shared" si="7"/>
        <v>#DIV/0!</v>
      </c>
      <c r="CO8" s="14">
        <f t="shared" si="8"/>
        <v>13.246757667094162</v>
      </c>
    </row>
    <row r="9" spans="1:93" s="14" customFormat="1" ht="18" customHeight="1">
      <c r="A9" s="247"/>
      <c r="B9" s="243" t="s">
        <v>62</v>
      </c>
      <c r="C9" s="27" t="s">
        <v>445</v>
      </c>
      <c r="D9" s="213">
        <f>'入力'!E4</f>
        <v>3.16</v>
      </c>
      <c r="E9" s="30" t="s">
        <v>108</v>
      </c>
      <c r="F9" s="15"/>
      <c r="Q9" s="14" t="str">
        <f>C12&amp;D12&amp;E12</f>
        <v>Lw=10m</v>
      </c>
      <c r="AE9" s="24"/>
      <c r="AF9" s="100"/>
      <c r="AG9" s="100"/>
      <c r="AH9" s="22"/>
      <c r="AI9" s="24"/>
      <c r="AJ9" s="24"/>
      <c r="AK9" s="26"/>
      <c r="AL9" s="91"/>
      <c r="AM9" s="66"/>
      <c r="AN9" s="66"/>
      <c r="AO9" s="66"/>
      <c r="AP9" s="25"/>
      <c r="BY9" s="25"/>
      <c r="BZ9" s="34">
        <f aca="true" t="shared" si="9" ref="BZ9:BZ45">(CB9/COS(θ)*SIN(CC9-φ+θ)-cu*CJ9*COS(φ))/COS(CC9-φ-δu-α)</f>
        <v>78.81504537183821</v>
      </c>
      <c r="CA9" s="35">
        <f>CA8+1</f>
        <v>34</v>
      </c>
      <c r="CB9" s="34">
        <f t="shared" si="0"/>
        <v>1111.689623561724</v>
      </c>
      <c r="CC9" s="34">
        <f aca="true" t="shared" si="10" ref="CC9:CC54">CA9*PI()/180</f>
        <v>0.5934119456780721</v>
      </c>
      <c r="CD9" s="34">
        <f t="shared" si="1"/>
        <v>1111.689623561724</v>
      </c>
      <c r="CE9" s="34">
        <f t="shared" si="2"/>
        <v>1111.689623561724</v>
      </c>
      <c r="CF9" s="36" t="e">
        <f t="shared" si="3"/>
        <v>#DIV/0!</v>
      </c>
      <c r="CG9" s="37">
        <f aca="true" t="shared" si="11" ref="CG9:CG54">(Ha-zc)/SIN(CC9)</f>
        <v>16.45228317973688</v>
      </c>
      <c r="CH9" s="37">
        <f aca="true" t="shared" si="12" ref="CH9:CH54">1/SIN(CC9-β)*(COS(α-β)/COS(α)*Ha-COS(β)*zc)</f>
        <v>16.45228317973688</v>
      </c>
      <c r="CI9" s="37">
        <f aca="true" t="shared" si="13" ref="CI9:CI54">(Ho+Ha-zc)/SIN(CC9)</f>
        <v>16.45228317973688</v>
      </c>
      <c r="CJ9" s="130">
        <f t="shared" si="4"/>
        <v>16.45228317973688</v>
      </c>
      <c r="CK9" s="48">
        <f t="shared" si="5"/>
        <v>78.81504537183821</v>
      </c>
      <c r="CL9" s="15">
        <f t="shared" si="6"/>
        <v>12.71956091031721</v>
      </c>
      <c r="CM9" s="15">
        <v>0</v>
      </c>
      <c r="CN9" s="14" t="e">
        <f t="shared" si="7"/>
        <v>#DIV/0!</v>
      </c>
      <c r="CO9" s="14">
        <f t="shared" si="8"/>
        <v>12.71956091031721</v>
      </c>
    </row>
    <row r="10" spans="1:93" s="14" customFormat="1" ht="18" customHeight="1">
      <c r="A10" s="247"/>
      <c r="B10" s="243" t="s">
        <v>412</v>
      </c>
      <c r="C10" s="38" t="s">
        <v>63</v>
      </c>
      <c r="D10" s="110" t="str">
        <f>"1 : "&amp;n</f>
        <v>1 : 0.4</v>
      </c>
      <c r="E10" s="26"/>
      <c r="F10" s="15"/>
      <c r="Q10" s="14" t="str">
        <f>"1: "&amp;m</f>
        <v>1: 0</v>
      </c>
      <c r="AK10" s="26"/>
      <c r="AL10" s="92"/>
      <c r="AM10" s="66"/>
      <c r="AN10" s="66"/>
      <c r="AO10" s="66"/>
      <c r="AP10" s="25"/>
      <c r="BY10" s="25"/>
      <c r="BZ10" s="34">
        <f t="shared" si="9"/>
        <v>94.31373430926631</v>
      </c>
      <c r="CA10" s="35">
        <f aca="true" t="shared" si="14" ref="CA10:CA54">CA9+1</f>
        <v>35</v>
      </c>
      <c r="CB10" s="34">
        <f t="shared" si="0"/>
        <v>1067.9372492611992</v>
      </c>
      <c r="CC10" s="34">
        <f t="shared" si="10"/>
        <v>0.6108652381980153</v>
      </c>
      <c r="CD10" s="34">
        <f t="shared" si="1"/>
        <v>1067.9372492611992</v>
      </c>
      <c r="CE10" s="34">
        <f t="shared" si="2"/>
        <v>1067.9372492611992</v>
      </c>
      <c r="CF10" s="36" t="e">
        <f t="shared" si="3"/>
        <v>#DIV/0!</v>
      </c>
      <c r="CG10" s="37">
        <f t="shared" si="11"/>
        <v>16.039710519714102</v>
      </c>
      <c r="CH10" s="37">
        <f t="shared" si="12"/>
        <v>16.039710519714102</v>
      </c>
      <c r="CI10" s="37">
        <f t="shared" si="13"/>
        <v>16.039710519714102</v>
      </c>
      <c r="CJ10" s="130">
        <f t="shared" si="4"/>
        <v>16.039710519714102</v>
      </c>
      <c r="CK10" s="48">
        <f t="shared" si="5"/>
        <v>94.31373430926631</v>
      </c>
      <c r="CL10" s="15">
        <f t="shared" si="6"/>
        <v>12.218961662027455</v>
      </c>
      <c r="CM10" s="15">
        <v>0</v>
      </c>
      <c r="CN10" s="14" t="e">
        <f t="shared" si="7"/>
        <v>#DIV/0!</v>
      </c>
      <c r="CO10" s="14">
        <f t="shared" si="8"/>
        <v>12.218961662027455</v>
      </c>
    </row>
    <row r="11" spans="1:93" s="14" customFormat="1" ht="18" customHeight="1">
      <c r="A11" s="247"/>
      <c r="B11" s="244" t="s">
        <v>413</v>
      </c>
      <c r="C11" s="38" t="s">
        <v>414</v>
      </c>
      <c r="D11" s="110" t="str">
        <f>"1 : "&amp;S8</f>
        <v>1 : -0.1</v>
      </c>
      <c r="E11" s="26"/>
      <c r="F11" s="15"/>
      <c r="Q11" s="14" t="str">
        <f>C14&amp;Ho&amp;E14</f>
        <v>H0=0m</v>
      </c>
      <c r="AL11" s="92"/>
      <c r="AM11" s="93"/>
      <c r="AN11" s="66"/>
      <c r="AO11" s="66"/>
      <c r="AP11" s="41"/>
      <c r="BY11" s="25"/>
      <c r="BZ11" s="34">
        <f t="shared" si="9"/>
        <v>108.41157306010017</v>
      </c>
      <c r="CA11" s="35">
        <f t="shared" si="14"/>
        <v>36</v>
      </c>
      <c r="CB11" s="34">
        <f t="shared" si="0"/>
        <v>1026.3131746124611</v>
      </c>
      <c r="CC11" s="34">
        <f t="shared" si="10"/>
        <v>0.6283185307179586</v>
      </c>
      <c r="CD11" s="34">
        <f t="shared" si="1"/>
        <v>1026.3131746124611</v>
      </c>
      <c r="CE11" s="34">
        <f t="shared" si="2"/>
        <v>1026.3131746124611</v>
      </c>
      <c r="CF11" s="36" t="e">
        <f t="shared" si="3"/>
        <v>#DIV/0!</v>
      </c>
      <c r="CG11" s="37">
        <f t="shared" si="11"/>
        <v>15.651974873677533</v>
      </c>
      <c r="CH11" s="37">
        <f t="shared" si="12"/>
        <v>15.651974873677533</v>
      </c>
      <c r="CI11" s="37">
        <f t="shared" si="13"/>
        <v>15.651974873677533</v>
      </c>
      <c r="CJ11" s="130">
        <f t="shared" si="4"/>
        <v>15.651974873677533</v>
      </c>
      <c r="CK11" s="48">
        <f t="shared" si="5"/>
        <v>108.41157306010017</v>
      </c>
      <c r="CL11" s="15">
        <f t="shared" si="6"/>
        <v>11.742713668334797</v>
      </c>
      <c r="CM11" s="15">
        <v>0</v>
      </c>
      <c r="CN11" s="14" t="e">
        <f t="shared" si="7"/>
        <v>#DIV/0!</v>
      </c>
      <c r="CO11" s="14">
        <f t="shared" si="8"/>
        <v>11.742713668334797</v>
      </c>
    </row>
    <row r="12" spans="1:93" s="14" customFormat="1" ht="18" customHeight="1">
      <c r="A12" s="247"/>
      <c r="B12" s="244" t="s">
        <v>230</v>
      </c>
      <c r="C12" s="42" t="s">
        <v>446</v>
      </c>
      <c r="D12" s="213">
        <f>Lw</f>
        <v>10</v>
      </c>
      <c r="E12" s="30" t="s">
        <v>138</v>
      </c>
      <c r="F12" s="15"/>
      <c r="Q12" s="14" t="str">
        <f>C15&amp;D15&amp;E15</f>
        <v>β=0度</v>
      </c>
      <c r="AK12" s="26"/>
      <c r="AL12" s="89"/>
      <c r="AM12" s="94"/>
      <c r="AN12" s="94"/>
      <c r="AO12" s="66"/>
      <c r="AP12" s="29"/>
      <c r="BY12" s="25"/>
      <c r="BZ12" s="34">
        <f t="shared" si="9"/>
        <v>121.22115643759722</v>
      </c>
      <c r="CA12" s="35">
        <f t="shared" si="14"/>
        <v>37</v>
      </c>
      <c r="CB12" s="34">
        <f t="shared" si="0"/>
        <v>986.6422001685393</v>
      </c>
      <c r="CC12" s="34">
        <f t="shared" si="10"/>
        <v>0.6457718232379019</v>
      </c>
      <c r="CD12" s="34">
        <f t="shared" si="1"/>
        <v>986.6422001685393</v>
      </c>
      <c r="CE12" s="34">
        <f t="shared" si="2"/>
        <v>986.6422001685393</v>
      </c>
      <c r="CF12" s="36" t="e">
        <f t="shared" si="3"/>
        <v>#DIV/0!</v>
      </c>
      <c r="CG12" s="37">
        <f t="shared" si="11"/>
        <v>15.287089298326844</v>
      </c>
      <c r="CH12" s="37">
        <f t="shared" si="12"/>
        <v>15.287089298326844</v>
      </c>
      <c r="CI12" s="37">
        <f t="shared" si="13"/>
        <v>15.287089298326844</v>
      </c>
      <c r="CJ12" s="130">
        <f t="shared" si="4"/>
        <v>15.287089298326844</v>
      </c>
      <c r="CK12" s="48">
        <f t="shared" si="5"/>
        <v>121.22115643759722</v>
      </c>
      <c r="CL12" s="15">
        <f t="shared" si="6"/>
        <v>11.288812358907773</v>
      </c>
      <c r="CM12" s="15">
        <v>0</v>
      </c>
      <c r="CN12" s="14" t="e">
        <f t="shared" si="7"/>
        <v>#DIV/0!</v>
      </c>
      <c r="CO12" s="14">
        <f t="shared" si="8"/>
        <v>11.288812358907773</v>
      </c>
    </row>
    <row r="13" spans="1:93" s="14" customFormat="1" ht="18" customHeight="1">
      <c r="A13" s="247" t="s">
        <v>437</v>
      </c>
      <c r="B13" s="244"/>
      <c r="C13" s="42"/>
      <c r="D13" s="213"/>
      <c r="E13" s="30"/>
      <c r="F13" s="15"/>
      <c r="Q13" s="14" t="str">
        <f>C16&amp;γs&amp;E16</f>
        <v>γ=19kN/m3</v>
      </c>
      <c r="AK13" s="26"/>
      <c r="AL13" s="28"/>
      <c r="AM13" s="28"/>
      <c r="AN13" s="28"/>
      <c r="AO13" s="28"/>
      <c r="AP13" s="29"/>
      <c r="BY13" s="25"/>
      <c r="BZ13" s="34">
        <f t="shared" si="9"/>
        <v>132.84245920318955</v>
      </c>
      <c r="CA13" s="35">
        <f t="shared" si="14"/>
        <v>38</v>
      </c>
      <c r="CB13" s="34">
        <f t="shared" si="0"/>
        <v>948.7674676138109</v>
      </c>
      <c r="CC13" s="34">
        <f t="shared" si="10"/>
        <v>0.6632251157578452</v>
      </c>
      <c r="CD13" s="34">
        <f t="shared" si="1"/>
        <v>948.7674676138109</v>
      </c>
      <c r="CE13" s="34">
        <f t="shared" si="2"/>
        <v>948.7674676138109</v>
      </c>
      <c r="CF13" s="36" t="e">
        <f t="shared" si="3"/>
        <v>#DIV/0!</v>
      </c>
      <c r="CG13" s="37">
        <f t="shared" si="11"/>
        <v>14.943277058441247</v>
      </c>
      <c r="CH13" s="37">
        <f t="shared" si="12"/>
        <v>14.943277058441247</v>
      </c>
      <c r="CI13" s="37">
        <f t="shared" si="13"/>
        <v>14.943277058441247</v>
      </c>
      <c r="CJ13" s="130">
        <f t="shared" si="4"/>
        <v>14.943277058441247</v>
      </c>
      <c r="CK13" s="48">
        <f t="shared" si="5"/>
        <v>132.84245920318955</v>
      </c>
      <c r="CL13" s="15">
        <f t="shared" si="6"/>
        <v>10.855463016176326</v>
      </c>
      <c r="CM13" s="15">
        <v>0</v>
      </c>
      <c r="CN13" s="14" t="e">
        <f t="shared" si="7"/>
        <v>#DIV/0!</v>
      </c>
      <c r="CO13" s="14">
        <f t="shared" si="8"/>
        <v>10.855463016176326</v>
      </c>
    </row>
    <row r="14" spans="1:96" s="14" customFormat="1" ht="18" customHeight="1">
      <c r="A14" s="246"/>
      <c r="B14" s="243" t="s">
        <v>66</v>
      </c>
      <c r="C14" s="27" t="s">
        <v>67</v>
      </c>
      <c r="D14" s="213">
        <f>IF(m=0,0,IF(data!F3=8,'入力'!E7,0))</f>
        <v>0</v>
      </c>
      <c r="E14" s="30" t="s">
        <v>138</v>
      </c>
      <c r="F14" s="15"/>
      <c r="Q14" s="14" t="str">
        <f>C17&amp;Fai&amp;E17</f>
        <v>φ=30度</v>
      </c>
      <c r="AK14" s="26"/>
      <c r="AL14" s="26"/>
      <c r="AM14" s="26"/>
      <c r="AN14" s="26"/>
      <c r="AO14" s="26"/>
      <c r="AP14" s="29"/>
      <c r="BY14" s="25"/>
      <c r="BZ14" s="34">
        <f t="shared" si="9"/>
        <v>143.36445511152507</v>
      </c>
      <c r="CA14" s="35">
        <f t="shared" si="14"/>
        <v>39</v>
      </c>
      <c r="CB14" s="34">
        <f t="shared" si="0"/>
        <v>912.5481056267042</v>
      </c>
      <c r="CC14" s="34">
        <f t="shared" si="10"/>
        <v>0.6806784082777885</v>
      </c>
      <c r="CD14" s="34">
        <f t="shared" si="1"/>
        <v>912.5481056267042</v>
      </c>
      <c r="CE14" s="34">
        <f t="shared" si="2"/>
        <v>912.5481056267042</v>
      </c>
      <c r="CF14" s="36" t="e">
        <f t="shared" si="3"/>
        <v>#DIV/0!</v>
      </c>
      <c r="CG14" s="37">
        <f t="shared" si="11"/>
        <v>14.618944707404895</v>
      </c>
      <c r="CH14" s="37">
        <f t="shared" si="12"/>
        <v>14.618944707404895</v>
      </c>
      <c r="CI14" s="37">
        <f t="shared" si="13"/>
        <v>14.618944707404895</v>
      </c>
      <c r="CJ14" s="130">
        <f t="shared" si="4"/>
        <v>14.618944707404895</v>
      </c>
      <c r="CK14" s="48">
        <f t="shared" si="5"/>
        <v>143.36445511152507</v>
      </c>
      <c r="CL14" s="15">
        <f t="shared" si="6"/>
        <v>10.441053840122475</v>
      </c>
      <c r="CM14" s="15">
        <v>0</v>
      </c>
      <c r="CN14" s="14" t="e">
        <f t="shared" si="7"/>
        <v>#DIV/0!</v>
      </c>
      <c r="CO14" s="14">
        <f t="shared" si="8"/>
        <v>10.441053840122475</v>
      </c>
      <c r="CQ14" s="95" t="s">
        <v>398</v>
      </c>
      <c r="CR14" s="14">
        <f>IF(CR15=0,PI()/2,ATAN((H-zc)/CR15))</f>
        <v>1.5707963267948966</v>
      </c>
    </row>
    <row r="15" spans="1:96" s="14" customFormat="1" ht="18" customHeight="1">
      <c r="A15" s="247"/>
      <c r="B15" s="243" t="s">
        <v>68</v>
      </c>
      <c r="C15" s="2" t="s">
        <v>69</v>
      </c>
      <c r="D15" s="318">
        <f>ROUND(IF(m=0,0.00001,ATAN(1/m)*180/PI()),2)</f>
        <v>0</v>
      </c>
      <c r="E15" s="256" t="s">
        <v>404</v>
      </c>
      <c r="F15" s="15"/>
      <c r="Q15" s="14" t="str">
        <f>C18&amp;cu&amp;E18</f>
        <v>c=0kN/m2</v>
      </c>
      <c r="AE15" s="43"/>
      <c r="AK15" s="26"/>
      <c r="AL15" s="26"/>
      <c r="AM15" s="26"/>
      <c r="AN15" s="26"/>
      <c r="AO15" s="26"/>
      <c r="AP15" s="29"/>
      <c r="BY15" s="25"/>
      <c r="BZ15" s="34">
        <f t="shared" si="9"/>
        <v>152.86649028091384</v>
      </c>
      <c r="CA15" s="35">
        <f t="shared" si="14"/>
        <v>40</v>
      </c>
      <c r="CB15" s="34">
        <f t="shared" si="0"/>
        <v>877.8572287331524</v>
      </c>
      <c r="CC15" s="34">
        <f t="shared" si="10"/>
        <v>0.6981317007977318</v>
      </c>
      <c r="CD15" s="34">
        <f t="shared" si="1"/>
        <v>877.8572287331524</v>
      </c>
      <c r="CE15" s="34">
        <f t="shared" si="2"/>
        <v>877.8572287331524</v>
      </c>
      <c r="CF15" s="36" t="e">
        <f t="shared" si="3"/>
        <v>#DIV/0!</v>
      </c>
      <c r="CG15" s="37">
        <f t="shared" si="11"/>
        <v>14.312659207115795</v>
      </c>
      <c r="CH15" s="37">
        <f t="shared" si="12"/>
        <v>14.312659207115795</v>
      </c>
      <c r="CI15" s="37">
        <f t="shared" si="13"/>
        <v>14.312659207115795</v>
      </c>
      <c r="CJ15" s="130">
        <f t="shared" si="4"/>
        <v>14.312659207115795</v>
      </c>
      <c r="CK15" s="48">
        <f t="shared" si="5"/>
        <v>152.86649028091384</v>
      </c>
      <c r="CL15" s="15">
        <f t="shared" si="6"/>
        <v>10.044133051866732</v>
      </c>
      <c r="CM15" s="15">
        <v>0</v>
      </c>
      <c r="CN15" s="14" t="e">
        <f t="shared" si="7"/>
        <v>#DIV/0!</v>
      </c>
      <c r="CO15" s="14">
        <f t="shared" si="8"/>
        <v>10.044133051866732</v>
      </c>
      <c r="CQ15" s="14" t="s">
        <v>399</v>
      </c>
      <c r="CR15" s="14">
        <f>IF(β=0,0,IF(Hb=0,0,Hb/TAN(β)-Ha*TAN(α)))</f>
        <v>0</v>
      </c>
    </row>
    <row r="16" spans="1:93" s="14" customFormat="1" ht="18" customHeight="1">
      <c r="A16" s="247"/>
      <c r="B16" s="243" t="s">
        <v>70</v>
      </c>
      <c r="C16" s="2" t="s">
        <v>71</v>
      </c>
      <c r="D16" s="318">
        <f>'入力'!E9</f>
        <v>19</v>
      </c>
      <c r="E16" s="30" t="s">
        <v>231</v>
      </c>
      <c r="F16" s="15"/>
      <c r="AE16" s="45"/>
      <c r="AK16" s="26"/>
      <c r="AL16" s="26"/>
      <c r="AM16" s="26"/>
      <c r="AN16" s="26"/>
      <c r="AO16" s="26"/>
      <c r="AP16" s="29"/>
      <c r="BY16" s="25"/>
      <c r="BZ16" s="34">
        <f t="shared" si="9"/>
        <v>161.41945285229224</v>
      </c>
      <c r="CA16" s="35">
        <f t="shared" si="14"/>
        <v>41</v>
      </c>
      <c r="CB16" s="34">
        <f t="shared" si="0"/>
        <v>844.5802288782695</v>
      </c>
      <c r="CC16" s="34">
        <f t="shared" si="10"/>
        <v>0.715584993317675</v>
      </c>
      <c r="CD16" s="34">
        <f t="shared" si="1"/>
        <v>844.5802288782695</v>
      </c>
      <c r="CE16" s="34">
        <f t="shared" si="2"/>
        <v>844.5802288782695</v>
      </c>
      <c r="CF16" s="36" t="e">
        <f t="shared" si="3"/>
        <v>#DIV/0!</v>
      </c>
      <c r="CG16" s="37">
        <f t="shared" si="11"/>
        <v>14.023128397693492</v>
      </c>
      <c r="CH16" s="37">
        <f t="shared" si="12"/>
        <v>14.023128397693494</v>
      </c>
      <c r="CI16" s="37">
        <f t="shared" si="13"/>
        <v>14.023128397693492</v>
      </c>
      <c r="CJ16" s="130">
        <f t="shared" si="4"/>
        <v>14.023128397693492</v>
      </c>
      <c r="CK16" s="48">
        <f t="shared" si="5"/>
        <v>161.41945285229224</v>
      </c>
      <c r="CL16" s="15">
        <f t="shared" si="6"/>
        <v>9.663389346433291</v>
      </c>
      <c r="CM16" s="15">
        <v>0</v>
      </c>
      <c r="CN16" s="14" t="e">
        <f t="shared" si="7"/>
        <v>#DIV/0!</v>
      </c>
      <c r="CO16" s="14">
        <f t="shared" si="8"/>
        <v>9.663389346433291</v>
      </c>
    </row>
    <row r="17" spans="1:93" s="14" customFormat="1" ht="18" customHeight="1">
      <c r="A17" s="247"/>
      <c r="B17" s="243" t="s">
        <v>72</v>
      </c>
      <c r="C17" s="2" t="s">
        <v>73</v>
      </c>
      <c r="D17" s="318">
        <f>'入力'!E10</f>
        <v>30</v>
      </c>
      <c r="E17" s="7" t="s">
        <v>232</v>
      </c>
      <c r="F17" s="15"/>
      <c r="AK17" s="26"/>
      <c r="AL17" s="26"/>
      <c r="AM17" s="26"/>
      <c r="AN17" s="26"/>
      <c r="AO17" s="26"/>
      <c r="AP17" s="29"/>
      <c r="BY17" s="25"/>
      <c r="BZ17" s="34">
        <f t="shared" si="9"/>
        <v>169.08677288787027</v>
      </c>
      <c r="CA17" s="35">
        <f t="shared" si="14"/>
        <v>42</v>
      </c>
      <c r="CB17" s="34">
        <f t="shared" si="0"/>
        <v>812.6133109238573</v>
      </c>
      <c r="CC17" s="34">
        <f t="shared" si="10"/>
        <v>0.7330382858376184</v>
      </c>
      <c r="CD17" s="34">
        <f t="shared" si="1"/>
        <v>812.6133109238573</v>
      </c>
      <c r="CE17" s="34">
        <f t="shared" si="2"/>
        <v>812.6133109238575</v>
      </c>
      <c r="CF17" s="36" t="e">
        <f t="shared" si="3"/>
        <v>#DIV/0!</v>
      </c>
      <c r="CG17" s="37">
        <f t="shared" si="11"/>
        <v>13.749184258754399</v>
      </c>
      <c r="CH17" s="37">
        <f t="shared" si="12"/>
        <v>13.749184258754399</v>
      </c>
      <c r="CI17" s="37">
        <f t="shared" si="13"/>
        <v>13.749184258754399</v>
      </c>
      <c r="CJ17" s="130">
        <f t="shared" si="4"/>
        <v>13.749184258754399</v>
      </c>
      <c r="CK17" s="48">
        <f t="shared" si="5"/>
        <v>169.08677288787027</v>
      </c>
      <c r="CL17" s="15">
        <f t="shared" si="6"/>
        <v>9.297635136428577</v>
      </c>
      <c r="CM17" s="15">
        <v>0</v>
      </c>
      <c r="CN17" s="14" t="e">
        <f t="shared" si="7"/>
        <v>#DIV/0!</v>
      </c>
      <c r="CO17" s="14">
        <f t="shared" si="8"/>
        <v>9.297635136428577</v>
      </c>
    </row>
    <row r="18" spans="1:93" s="14" customFormat="1" ht="18" customHeight="1">
      <c r="A18" s="247"/>
      <c r="B18" s="245" t="s">
        <v>74</v>
      </c>
      <c r="C18" s="42" t="s">
        <v>75</v>
      </c>
      <c r="D18" s="213">
        <f>'入力'!E11</f>
        <v>0</v>
      </c>
      <c r="E18" s="30" t="s">
        <v>233</v>
      </c>
      <c r="F18" s="15"/>
      <c r="AK18" s="26"/>
      <c r="AL18" s="26"/>
      <c r="AM18" s="26"/>
      <c r="AN18" s="26"/>
      <c r="AO18" s="26"/>
      <c r="AP18" s="29"/>
      <c r="BY18" s="25"/>
      <c r="BZ18" s="34">
        <f t="shared" si="9"/>
        <v>175.92528012581357</v>
      </c>
      <c r="CA18" s="35">
        <f t="shared" si="14"/>
        <v>43</v>
      </c>
      <c r="CB18" s="34">
        <f t="shared" si="0"/>
        <v>781.8622323566467</v>
      </c>
      <c r="CC18" s="34">
        <f t="shared" si="10"/>
        <v>0.7504915783575616</v>
      </c>
      <c r="CD18" s="34">
        <f t="shared" si="1"/>
        <v>781.8622323566467</v>
      </c>
      <c r="CE18" s="34">
        <f t="shared" si="2"/>
        <v>781.8622323566467</v>
      </c>
      <c r="CF18" s="36" t="e">
        <f t="shared" si="3"/>
        <v>#DIV/0!</v>
      </c>
      <c r="CG18" s="37">
        <f t="shared" si="11"/>
        <v>13.489768507884548</v>
      </c>
      <c r="CH18" s="37">
        <f t="shared" si="12"/>
        <v>13.489768507884548</v>
      </c>
      <c r="CI18" s="37">
        <f t="shared" si="13"/>
        <v>13.489768507884548</v>
      </c>
      <c r="CJ18" s="130">
        <f t="shared" si="4"/>
        <v>13.489768507884548</v>
      </c>
      <c r="CK18" s="48">
        <f t="shared" si="5"/>
        <v>175.92528012581357</v>
      </c>
      <c r="CL18" s="15">
        <f t="shared" si="6"/>
        <v>8.945792132227082</v>
      </c>
      <c r="CM18" s="15">
        <v>0</v>
      </c>
      <c r="CN18" s="14" t="e">
        <f t="shared" si="7"/>
        <v>#DIV/0!</v>
      </c>
      <c r="CO18" s="14">
        <f t="shared" si="8"/>
        <v>8.945792132227082</v>
      </c>
    </row>
    <row r="19" spans="1:93" s="14" customFormat="1" ht="18" customHeight="1">
      <c r="A19" s="246"/>
      <c r="B19" s="15"/>
      <c r="C19" s="15"/>
      <c r="D19" s="15"/>
      <c r="E19" s="15"/>
      <c r="F19" s="15"/>
      <c r="AK19" s="26"/>
      <c r="AL19" s="26"/>
      <c r="AM19" s="26"/>
      <c r="AN19" s="26"/>
      <c r="AO19" s="26"/>
      <c r="AP19" s="29"/>
      <c r="BY19" s="25"/>
      <c r="BZ19" s="34">
        <f t="shared" si="9"/>
        <v>181.9859421682655</v>
      </c>
      <c r="CA19" s="35">
        <f>CA18+1</f>
        <v>44</v>
      </c>
      <c r="CB19" s="34">
        <f t="shared" si="0"/>
        <v>752.2412147127212</v>
      </c>
      <c r="CC19" s="34">
        <f t="shared" si="10"/>
        <v>0.767944870877505</v>
      </c>
      <c r="CD19" s="34">
        <f t="shared" si="1"/>
        <v>752.2412147127212</v>
      </c>
      <c r="CE19" s="34">
        <f t="shared" si="2"/>
        <v>752.2412147127212</v>
      </c>
      <c r="CF19" s="36" t="e">
        <f t="shared" si="3"/>
        <v>#DIV/0!</v>
      </c>
      <c r="CG19" s="37">
        <f t="shared" si="11"/>
        <v>13.243920164556682</v>
      </c>
      <c r="CH19" s="37">
        <f t="shared" si="12"/>
        <v>13.243920164556682</v>
      </c>
      <c r="CI19" s="37">
        <f t="shared" si="13"/>
        <v>13.243920164556682</v>
      </c>
      <c r="CJ19" s="130">
        <f t="shared" si="4"/>
        <v>13.243920164556682</v>
      </c>
      <c r="CK19" s="48">
        <f t="shared" si="5"/>
        <v>181.9859421682655</v>
      </c>
      <c r="CL19" s="15">
        <f aca="true" t="shared" si="15" ref="CL19:CL54">Ha*(TAN(α)+1/TAN(CC19))-zc/TAN(CC19)</f>
        <v>8.60687888687324</v>
      </c>
      <c r="CM19" s="15">
        <v>0</v>
      </c>
      <c r="CN19" s="14" t="e">
        <f aca="true" t="shared" si="16" ref="CN19:CN54">(H-zc)/TAN(CC19)+Ha*TAN(α)-Ho/TAN(β)</f>
        <v>#DIV/0!</v>
      </c>
      <c r="CO19" s="14">
        <f aca="true" t="shared" si="17" ref="CO19:CO54">IF(Ho=0,CL19,IF(β=0,CL19,IF(CC19&lt;=ω0,CN19,CM19)))</f>
        <v>8.60687888687324</v>
      </c>
    </row>
    <row r="20" spans="1:93" s="14" customFormat="1" ht="18" customHeight="1">
      <c r="A20" s="246"/>
      <c r="B20" s="15"/>
      <c r="C20" s="15"/>
      <c r="D20" s="15"/>
      <c r="E20" s="15"/>
      <c r="F20" s="15"/>
      <c r="Q20" s="28"/>
      <c r="R20" s="28"/>
      <c r="S20" s="28"/>
      <c r="AK20" s="26"/>
      <c r="AL20" s="46"/>
      <c r="AM20" s="29"/>
      <c r="AN20" s="29"/>
      <c r="AO20" s="29"/>
      <c r="AP20" s="29"/>
      <c r="BY20" s="25"/>
      <c r="BZ20" s="34">
        <f t="shared" si="9"/>
        <v>187.31450164857685</v>
      </c>
      <c r="CA20" s="35">
        <f t="shared" si="14"/>
        <v>45</v>
      </c>
      <c r="CB20" s="34">
        <f t="shared" si="0"/>
        <v>723.6719999999999</v>
      </c>
      <c r="CC20" s="34">
        <f t="shared" si="10"/>
        <v>0.7853981633974483</v>
      </c>
      <c r="CD20" s="34">
        <f aca="true" t="shared" si="18" ref="CD20:CD39">1/2*γs*(Ha^2*COS(CC20-α)/COS(α)-zc^2*COS(CC20))/SIN(CC20)+CL20*q</f>
        <v>723.6719999999999</v>
      </c>
      <c r="CE20" s="34">
        <f aca="true" t="shared" si="19" ref="CE20:CE39">1/2*γs*(Ha^2*COS(CC20-α)*COS(α-β)/(COS(α))^2-zc^2*COS(CC20)*COS(β))/SIN(CC20-β)</f>
        <v>723.6720000000001</v>
      </c>
      <c r="CF20" s="36" t="e">
        <f aca="true" t="shared" si="20" ref="CF20:CF39">1/2*γs*(H^2*COS(CC20-α)/SIN(CC20)-Ho^2*COS(α-β)/SIN(β)-zc^2*COS(α)/TAN(CC20))/COS(α)+CN20*q</f>
        <v>#DIV/0!</v>
      </c>
      <c r="CG20" s="37">
        <f t="shared" si="11"/>
        <v>13.010764773832475</v>
      </c>
      <c r="CH20" s="37">
        <f t="shared" si="12"/>
        <v>13.010764773832474</v>
      </c>
      <c r="CI20" s="37">
        <f t="shared" si="13"/>
        <v>13.010764773832475</v>
      </c>
      <c r="CJ20" s="130">
        <f t="shared" si="4"/>
        <v>13.010764773832475</v>
      </c>
      <c r="CK20" s="48">
        <f t="shared" si="5"/>
        <v>187.31450164857685</v>
      </c>
      <c r="CL20" s="15">
        <f t="shared" si="15"/>
        <v>8.280000000000001</v>
      </c>
      <c r="CM20" s="15">
        <v>0</v>
      </c>
      <c r="CN20" s="14" t="e">
        <f t="shared" si="16"/>
        <v>#DIV/0!</v>
      </c>
      <c r="CO20" s="14">
        <f t="shared" si="17"/>
        <v>8.280000000000001</v>
      </c>
    </row>
    <row r="21" spans="1:93" s="14" customFormat="1" ht="18" customHeight="1">
      <c r="A21" s="246"/>
      <c r="B21" s="15"/>
      <c r="C21" s="15"/>
      <c r="D21" s="15"/>
      <c r="E21" s="15"/>
      <c r="F21" s="15"/>
      <c r="Q21" s="30"/>
      <c r="R21" s="30"/>
      <c r="S21" s="30"/>
      <c r="AL21" s="46"/>
      <c r="AM21" s="29"/>
      <c r="AN21" s="29"/>
      <c r="AO21" s="29"/>
      <c r="AP21" s="29"/>
      <c r="BY21" s="25"/>
      <c r="BZ21" s="34">
        <f t="shared" si="9"/>
        <v>191.95202768056757</v>
      </c>
      <c r="CA21" s="35">
        <f t="shared" si="14"/>
        <v>46</v>
      </c>
      <c r="CB21" s="34">
        <f t="shared" si="0"/>
        <v>696.0830300468723</v>
      </c>
      <c r="CC21" s="34">
        <f t="shared" si="10"/>
        <v>0.8028514559173915</v>
      </c>
      <c r="CD21" s="34">
        <f t="shared" si="18"/>
        <v>696.0830300468723</v>
      </c>
      <c r="CE21" s="34">
        <f t="shared" si="19"/>
        <v>696.0830300468723</v>
      </c>
      <c r="CF21" s="36" t="e">
        <f t="shared" si="20"/>
        <v>#DIV/0!</v>
      </c>
      <c r="CG21" s="37">
        <f t="shared" si="11"/>
        <v>12.789505037353445</v>
      </c>
      <c r="CH21" s="37">
        <f t="shared" si="12"/>
        <v>12.789505037353445</v>
      </c>
      <c r="CI21" s="37">
        <f t="shared" si="13"/>
        <v>12.789505037353445</v>
      </c>
      <c r="CJ21" s="130">
        <f t="shared" si="4"/>
        <v>12.789505037353445</v>
      </c>
      <c r="CK21" s="48">
        <f t="shared" si="5"/>
        <v>191.95202768056757</v>
      </c>
      <c r="CL21" s="15">
        <f t="shared" si="15"/>
        <v>7.964336728225081</v>
      </c>
      <c r="CM21" s="15">
        <v>0</v>
      </c>
      <c r="CN21" s="14" t="e">
        <f t="shared" si="16"/>
        <v>#DIV/0!</v>
      </c>
      <c r="CO21" s="14">
        <f t="shared" si="17"/>
        <v>7.964336728225081</v>
      </c>
    </row>
    <row r="22" spans="1:93" s="14" customFormat="1" ht="18" customHeight="1">
      <c r="A22" s="246"/>
      <c r="Q22" s="26"/>
      <c r="R22" s="26"/>
      <c r="S22" s="26"/>
      <c r="AL22" s="46"/>
      <c r="AM22" s="29"/>
      <c r="AN22" s="29"/>
      <c r="AO22" s="29"/>
      <c r="AP22" s="29"/>
      <c r="BY22" s="25"/>
      <c r="BZ22" s="34">
        <f t="shared" si="9"/>
        <v>195.93539427003338</v>
      </c>
      <c r="CA22" s="35">
        <f t="shared" si="14"/>
        <v>47</v>
      </c>
      <c r="CB22" s="34">
        <f t="shared" si="0"/>
        <v>669.4087304615709</v>
      </c>
      <c r="CC22" s="34">
        <f t="shared" si="10"/>
        <v>0.8203047484373349</v>
      </c>
      <c r="CD22" s="34">
        <f t="shared" si="18"/>
        <v>669.4087304615709</v>
      </c>
      <c r="CE22" s="34">
        <f t="shared" si="19"/>
        <v>669.408730461571</v>
      </c>
      <c r="CF22" s="36" t="e">
        <f t="shared" si="20"/>
        <v>#DIV/0!</v>
      </c>
      <c r="CG22" s="37">
        <f t="shared" si="11"/>
        <v>12.579412642107076</v>
      </c>
      <c r="CH22" s="37">
        <f t="shared" si="12"/>
        <v>12.579412642107075</v>
      </c>
      <c r="CI22" s="37">
        <f t="shared" si="13"/>
        <v>12.579412642107076</v>
      </c>
      <c r="CJ22" s="130">
        <f t="shared" si="4"/>
        <v>12.579412642107076</v>
      </c>
      <c r="CK22" s="48">
        <f t="shared" si="5"/>
        <v>195.93539427003338</v>
      </c>
      <c r="CL22" s="15">
        <f t="shared" si="15"/>
        <v>7.659138792466487</v>
      </c>
      <c r="CM22" s="15">
        <v>0</v>
      </c>
      <c r="CN22" s="14" t="e">
        <f t="shared" si="16"/>
        <v>#DIV/0!</v>
      </c>
      <c r="CO22" s="14">
        <f t="shared" si="17"/>
        <v>7.659138792466487</v>
      </c>
    </row>
    <row r="23" spans="1:93" s="14" customFormat="1" ht="18" customHeight="1">
      <c r="A23" s="248"/>
      <c r="H23" s="26"/>
      <c r="I23" s="28"/>
      <c r="J23" s="28"/>
      <c r="K23" s="28"/>
      <c r="L23" s="28"/>
      <c r="M23" s="28"/>
      <c r="N23" s="28"/>
      <c r="O23" s="28"/>
      <c r="P23" s="28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L23" s="46"/>
      <c r="AM23" s="29"/>
      <c r="AN23" s="29"/>
      <c r="AO23" s="29"/>
      <c r="AP23" s="29"/>
      <c r="BY23" s="25"/>
      <c r="BZ23" s="34">
        <f t="shared" si="9"/>
        <v>199.2976962371031</v>
      </c>
      <c r="CA23" s="35">
        <f t="shared" si="14"/>
        <v>48</v>
      </c>
      <c r="CB23" s="34">
        <f t="shared" si="0"/>
        <v>643.5888839390072</v>
      </c>
      <c r="CC23" s="34">
        <f t="shared" si="10"/>
        <v>0.8377580409572781</v>
      </c>
      <c r="CD23" s="34">
        <f t="shared" si="18"/>
        <v>643.5888839390072</v>
      </c>
      <c r="CE23" s="34">
        <f t="shared" si="19"/>
        <v>643.5888839390074</v>
      </c>
      <c r="CF23" s="36" t="e">
        <f t="shared" si="20"/>
        <v>#DIV/0!</v>
      </c>
      <c r="CG23" s="37">
        <f t="shared" si="11"/>
        <v>12.37982111237866</v>
      </c>
      <c r="CH23" s="37">
        <f t="shared" si="12"/>
        <v>12.37982111237866</v>
      </c>
      <c r="CI23" s="37">
        <f t="shared" si="13"/>
        <v>12.37982111237866</v>
      </c>
      <c r="CJ23" s="130">
        <f t="shared" si="4"/>
        <v>12.37982111237866</v>
      </c>
      <c r="CK23" s="48">
        <f t="shared" si="5"/>
        <v>199.2976962371031</v>
      </c>
      <c r="CL23" s="15">
        <f t="shared" si="15"/>
        <v>7.3637172075401285</v>
      </c>
      <c r="CM23" s="15">
        <v>0</v>
      </c>
      <c r="CN23" s="14" t="e">
        <f t="shared" si="16"/>
        <v>#DIV/0!</v>
      </c>
      <c r="CO23" s="14">
        <f t="shared" si="17"/>
        <v>7.3637172075401285</v>
      </c>
    </row>
    <row r="24" spans="1:93" s="14" customFormat="1" ht="18" customHeight="1">
      <c r="A24" s="248"/>
      <c r="H24" s="30"/>
      <c r="I24" s="30"/>
      <c r="J24" s="30"/>
      <c r="K24" s="30"/>
      <c r="L24" s="30"/>
      <c r="M24" s="30"/>
      <c r="N24" s="30"/>
      <c r="O24" s="30"/>
      <c r="P24" s="30"/>
      <c r="Q24" s="26"/>
      <c r="R24" s="26"/>
      <c r="S24" s="26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L24" s="46"/>
      <c r="AM24" s="29"/>
      <c r="AN24" s="29"/>
      <c r="AO24" s="29"/>
      <c r="AP24" s="29"/>
      <c r="BY24" s="25"/>
      <c r="BZ24" s="34">
        <f t="shared" si="9"/>
        <v>202.06861145702905</v>
      </c>
      <c r="CA24" s="35">
        <f t="shared" si="14"/>
        <v>49</v>
      </c>
      <c r="CB24" s="34">
        <f t="shared" si="0"/>
        <v>618.5680801432713</v>
      </c>
      <c r="CC24" s="34">
        <f t="shared" si="10"/>
        <v>0.8552113334772214</v>
      </c>
      <c r="CD24" s="34">
        <f t="shared" si="18"/>
        <v>618.5680801432713</v>
      </c>
      <c r="CE24" s="34">
        <f t="shared" si="19"/>
        <v>618.5680801432713</v>
      </c>
      <c r="CF24" s="36" t="e">
        <f t="shared" si="20"/>
        <v>#DIV/0!</v>
      </c>
      <c r="CG24" s="37">
        <f t="shared" si="11"/>
        <v>12.190119538809062</v>
      </c>
      <c r="CH24" s="37">
        <f t="shared" si="12"/>
        <v>12.190119538809062</v>
      </c>
      <c r="CI24" s="37">
        <f t="shared" si="13"/>
        <v>12.190119538809062</v>
      </c>
      <c r="CJ24" s="130">
        <f t="shared" si="4"/>
        <v>12.190119538809062</v>
      </c>
      <c r="CK24" s="48">
        <f t="shared" si="5"/>
        <v>202.06861145702905</v>
      </c>
      <c r="CL24" s="15">
        <f t="shared" si="15"/>
        <v>7.077437987909286</v>
      </c>
      <c r="CM24" s="15">
        <v>0</v>
      </c>
      <c r="CN24" s="14" t="e">
        <f t="shared" si="16"/>
        <v>#DIV/0!</v>
      </c>
      <c r="CO24" s="14">
        <f t="shared" si="17"/>
        <v>7.077437987909286</v>
      </c>
    </row>
    <row r="25" spans="1:93" s="14" customFormat="1" ht="18" customHeight="1">
      <c r="A25" s="24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L25" s="46"/>
      <c r="AM25" s="29"/>
      <c r="AN25" s="29"/>
      <c r="AO25" s="29"/>
      <c r="AP25" s="29"/>
      <c r="BT25" s="25"/>
      <c r="BU25" s="25"/>
      <c r="BV25" s="25"/>
      <c r="BY25" s="25"/>
      <c r="BZ25" s="34">
        <f t="shared" si="9"/>
        <v>204.2747167982315</v>
      </c>
      <c r="CA25" s="49">
        <f t="shared" si="14"/>
        <v>50</v>
      </c>
      <c r="CB25" s="34">
        <f t="shared" si="0"/>
        <v>594.2952314370273</v>
      </c>
      <c r="CC25" s="50">
        <f t="shared" si="10"/>
        <v>0.8726646259971648</v>
      </c>
      <c r="CD25" s="34">
        <f t="shared" si="18"/>
        <v>594.2952314370273</v>
      </c>
      <c r="CE25" s="34">
        <f t="shared" si="19"/>
        <v>594.2952314370273</v>
      </c>
      <c r="CF25" s="36" t="e">
        <f t="shared" si="20"/>
        <v>#DIV/0!</v>
      </c>
      <c r="CG25" s="51">
        <f t="shared" si="11"/>
        <v>12.009747061856963</v>
      </c>
      <c r="CH25" s="51">
        <f t="shared" si="12"/>
        <v>12.009747061856961</v>
      </c>
      <c r="CI25" s="51">
        <f t="shared" si="13"/>
        <v>12.009747061856963</v>
      </c>
      <c r="CJ25" s="130">
        <f t="shared" si="4"/>
        <v>12.009747061856963</v>
      </c>
      <c r="CK25" s="48">
        <f t="shared" si="5"/>
        <v>204.2747167982315</v>
      </c>
      <c r="CL25" s="15">
        <f t="shared" si="15"/>
        <v>6.799716606830976</v>
      </c>
      <c r="CM25" s="15">
        <v>0</v>
      </c>
      <c r="CN25" s="14" t="e">
        <f t="shared" si="16"/>
        <v>#DIV/0!</v>
      </c>
      <c r="CO25" s="14">
        <f t="shared" si="17"/>
        <v>6.799716606830976</v>
      </c>
    </row>
    <row r="26" spans="1:93" s="14" customFormat="1" ht="18" customHeight="1">
      <c r="A26" s="24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L26" s="46"/>
      <c r="AM26" s="29"/>
      <c r="AN26" s="29"/>
      <c r="AO26" s="29"/>
      <c r="AP26" s="29"/>
      <c r="BT26" s="25"/>
      <c r="BU26" s="25"/>
      <c r="BV26" s="25"/>
      <c r="BY26" s="25"/>
      <c r="BZ26" s="34">
        <f t="shared" si="9"/>
        <v>205.93976395847483</v>
      </c>
      <c r="CA26" s="49">
        <f t="shared" si="14"/>
        <v>51</v>
      </c>
      <c r="CB26" s="34">
        <f t="shared" si="0"/>
        <v>570.7231454114414</v>
      </c>
      <c r="CC26" s="50">
        <f t="shared" si="10"/>
        <v>0.890117918517108</v>
      </c>
      <c r="CD26" s="34">
        <f t="shared" si="18"/>
        <v>570.7231454114414</v>
      </c>
      <c r="CE26" s="34">
        <f t="shared" si="19"/>
        <v>570.7231454114414</v>
      </c>
      <c r="CF26" s="36" t="e">
        <f t="shared" si="20"/>
        <v>#DIV/0!</v>
      </c>
      <c r="CG26" s="51">
        <f t="shared" si="11"/>
        <v>11.83818800621714</v>
      </c>
      <c r="CH26" s="51">
        <f t="shared" si="12"/>
        <v>11.83818800621714</v>
      </c>
      <c r="CI26" s="51">
        <f t="shared" si="13"/>
        <v>11.83818800621714</v>
      </c>
      <c r="CJ26" s="130">
        <f t="shared" si="4"/>
        <v>11.83818800621714</v>
      </c>
      <c r="CK26" s="48">
        <f t="shared" si="5"/>
        <v>205.93976395847483</v>
      </c>
      <c r="CL26" s="15">
        <f t="shared" si="15"/>
        <v>6.530013105394067</v>
      </c>
      <c r="CM26" s="15">
        <v>0</v>
      </c>
      <c r="CN26" s="14" t="e">
        <f t="shared" si="16"/>
        <v>#DIV/0!</v>
      </c>
      <c r="CO26" s="14">
        <f t="shared" si="17"/>
        <v>6.530013105394067</v>
      </c>
    </row>
    <row r="27" spans="1:93" s="14" customFormat="1" ht="18" customHeight="1">
      <c r="A27" s="248"/>
      <c r="H27" s="26"/>
      <c r="I27" s="26"/>
      <c r="J27" s="26"/>
      <c r="K27" s="26"/>
      <c r="L27" s="26"/>
      <c r="M27" s="26"/>
      <c r="N27" s="26"/>
      <c r="O27" s="26"/>
      <c r="P27" s="26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K27" s="25"/>
      <c r="AM27" s="29"/>
      <c r="AN27" s="29"/>
      <c r="AO27" s="29"/>
      <c r="AP27" s="29"/>
      <c r="BT27" s="25"/>
      <c r="BU27" s="25"/>
      <c r="BV27" s="25"/>
      <c r="BY27" s="25"/>
      <c r="BZ27" s="34">
        <f t="shared" si="9"/>
        <v>207.08492042444945</v>
      </c>
      <c r="CA27" s="49">
        <f t="shared" si="14"/>
        <v>52</v>
      </c>
      <c r="CB27" s="34">
        <f t="shared" si="0"/>
        <v>547.8081465615212</v>
      </c>
      <c r="CC27" s="50">
        <f t="shared" si="10"/>
        <v>0.9075712110370514</v>
      </c>
      <c r="CD27" s="34">
        <f t="shared" si="18"/>
        <v>547.8081465615212</v>
      </c>
      <c r="CE27" s="34">
        <f t="shared" si="19"/>
        <v>547.8081465615212</v>
      </c>
      <c r="CF27" s="36" t="e">
        <f t="shared" si="20"/>
        <v>#DIV/0!</v>
      </c>
      <c r="CG27" s="51">
        <f t="shared" si="11"/>
        <v>11.674967578667724</v>
      </c>
      <c r="CH27" s="51">
        <f t="shared" si="12"/>
        <v>11.674967578667724</v>
      </c>
      <c r="CI27" s="51">
        <f t="shared" si="13"/>
        <v>11.674967578667724</v>
      </c>
      <c r="CJ27" s="130">
        <f t="shared" si="4"/>
        <v>11.674967578667724</v>
      </c>
      <c r="CK27" s="48">
        <f t="shared" si="5"/>
        <v>207.08492042444945</v>
      </c>
      <c r="CL27" s="15">
        <f t="shared" si="15"/>
        <v>6.2678277638618</v>
      </c>
      <c r="CM27" s="15">
        <v>0</v>
      </c>
      <c r="CN27" s="14" t="e">
        <f t="shared" si="16"/>
        <v>#DIV/0!</v>
      </c>
      <c r="CO27" s="14">
        <f t="shared" si="17"/>
        <v>6.2678277638618</v>
      </c>
    </row>
    <row r="28" spans="1:93" s="14" customFormat="1" ht="18" customHeight="1">
      <c r="A28" s="248"/>
      <c r="H28" s="26"/>
      <c r="I28" s="26"/>
      <c r="J28" s="26"/>
      <c r="K28" s="26"/>
      <c r="L28" s="26"/>
      <c r="M28" s="26"/>
      <c r="N28" s="26"/>
      <c r="O28" s="26"/>
      <c r="P28" s="26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K28" s="25"/>
      <c r="AM28" s="29"/>
      <c r="AN28" s="29"/>
      <c r="AO28" s="29"/>
      <c r="AP28" s="29"/>
      <c r="BY28" s="25"/>
      <c r="BZ28" s="34">
        <f t="shared" si="9"/>
        <v>207.72897996834405</v>
      </c>
      <c r="CA28" s="49">
        <f t="shared" si="14"/>
        <v>53</v>
      </c>
      <c r="CB28" s="34">
        <f t="shared" si="0"/>
        <v>525.5097406066546</v>
      </c>
      <c r="CC28" s="50">
        <f t="shared" si="10"/>
        <v>0.9250245035569946</v>
      </c>
      <c r="CD28" s="34">
        <f t="shared" si="18"/>
        <v>525.5097406066546</v>
      </c>
      <c r="CE28" s="34">
        <f t="shared" si="19"/>
        <v>525.5097406066548</v>
      </c>
      <c r="CF28" s="36" t="e">
        <f t="shared" si="20"/>
        <v>#DIV/0!</v>
      </c>
      <c r="CG28" s="51">
        <f t="shared" si="11"/>
        <v>11.519648055037276</v>
      </c>
      <c r="CH28" s="51">
        <f t="shared" si="12"/>
        <v>11.519648055037276</v>
      </c>
      <c r="CI28" s="51">
        <f t="shared" si="13"/>
        <v>11.519648055037276</v>
      </c>
      <c r="CJ28" s="130">
        <f t="shared" si="4"/>
        <v>11.519648055037276</v>
      </c>
      <c r="CK28" s="48">
        <f t="shared" si="5"/>
        <v>207.72897996834405</v>
      </c>
      <c r="CL28" s="15">
        <f t="shared" si="15"/>
        <v>6.012697260945707</v>
      </c>
      <c r="CM28" s="15">
        <v>0</v>
      </c>
      <c r="CN28" s="14" t="e">
        <f t="shared" si="16"/>
        <v>#DIV/0!</v>
      </c>
      <c r="CO28" s="14">
        <f t="shared" si="17"/>
        <v>6.012697260945707</v>
      </c>
    </row>
    <row r="29" spans="1:93" s="14" customFormat="1" ht="18" customHeight="1">
      <c r="A29" s="24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K29" s="25"/>
      <c r="AM29" s="29"/>
      <c r="AN29" s="29"/>
      <c r="AO29" s="29"/>
      <c r="AP29" s="29"/>
      <c r="BY29" s="25"/>
      <c r="BZ29" s="34">
        <f t="shared" si="9"/>
        <v>207.88854641658554</v>
      </c>
      <c r="CA29" s="49">
        <f t="shared" si="14"/>
        <v>54</v>
      </c>
      <c r="CB29" s="34">
        <f t="shared" si="0"/>
        <v>503.7903159185504</v>
      </c>
      <c r="CC29" s="50">
        <f t="shared" si="10"/>
        <v>0.9424777960769379</v>
      </c>
      <c r="CD29" s="34">
        <f t="shared" si="18"/>
        <v>503.7903159185504</v>
      </c>
      <c r="CE29" s="34">
        <f t="shared" si="19"/>
        <v>503.79031591855045</v>
      </c>
      <c r="CF29" s="36" t="e">
        <f t="shared" si="20"/>
        <v>#DIV/0!</v>
      </c>
      <c r="CG29" s="51">
        <f t="shared" si="11"/>
        <v>11.371825392998064</v>
      </c>
      <c r="CH29" s="51">
        <f t="shared" si="12"/>
        <v>11.371825392998064</v>
      </c>
      <c r="CI29" s="51">
        <f t="shared" si="13"/>
        <v>11.371825392998064</v>
      </c>
      <c r="CJ29" s="130">
        <f t="shared" si="4"/>
        <v>11.371825392998064</v>
      </c>
      <c r="CK29" s="48">
        <f t="shared" si="5"/>
        <v>207.88854641658554</v>
      </c>
      <c r="CL29" s="15">
        <f t="shared" si="15"/>
        <v>5.764191257649321</v>
      </c>
      <c r="CM29" s="15">
        <v>0</v>
      </c>
      <c r="CN29" s="14" t="e">
        <f t="shared" si="16"/>
        <v>#DIV/0!</v>
      </c>
      <c r="CO29" s="14">
        <f t="shared" si="17"/>
        <v>5.764191257649321</v>
      </c>
    </row>
    <row r="30" spans="1:93" s="14" customFormat="1" ht="18" customHeight="1">
      <c r="A30" s="248"/>
      <c r="H30" s="30"/>
      <c r="I30" s="28"/>
      <c r="J30" s="28"/>
      <c r="K30" s="28"/>
      <c r="L30" s="28"/>
      <c r="M30" s="28"/>
      <c r="N30" s="28"/>
      <c r="O30" s="28"/>
      <c r="P30" s="28"/>
      <c r="Q30" s="14" t="str">
        <f>C33&amp;q&amp;E33</f>
        <v>q=0kN/m2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K30" s="25"/>
      <c r="AM30" s="29"/>
      <c r="AN30" s="29"/>
      <c r="AO30" s="29"/>
      <c r="AP30" s="29"/>
      <c r="BY30" s="25"/>
      <c r="BZ30" s="34">
        <f t="shared" si="9"/>
        <v>207.57819385626078</v>
      </c>
      <c r="CA30" s="49">
        <f t="shared" si="14"/>
        <v>55</v>
      </c>
      <c r="CB30" s="34">
        <f t="shared" si="0"/>
        <v>482.6148773236633</v>
      </c>
      <c r="CC30" s="50">
        <f t="shared" si="10"/>
        <v>0.9599310885968813</v>
      </c>
      <c r="CD30" s="34">
        <f t="shared" si="18"/>
        <v>482.6148773236633</v>
      </c>
      <c r="CE30" s="34">
        <f t="shared" si="19"/>
        <v>482.6148773236633</v>
      </c>
      <c r="CF30" s="36" t="e">
        <f t="shared" si="20"/>
        <v>#DIV/0!</v>
      </c>
      <c r="CG30" s="51">
        <f t="shared" si="11"/>
        <v>11.231126216605395</v>
      </c>
      <c r="CH30" s="51">
        <f t="shared" si="12"/>
        <v>11.231126216605395</v>
      </c>
      <c r="CI30" s="51">
        <f t="shared" si="13"/>
        <v>11.231126216605395</v>
      </c>
      <c r="CJ30" s="130">
        <f t="shared" si="4"/>
        <v>11.231126216605395</v>
      </c>
      <c r="CK30" s="48">
        <f t="shared" si="5"/>
        <v>207.57819385626078</v>
      </c>
      <c r="CL30" s="15">
        <f t="shared" si="15"/>
        <v>5.52190935152933</v>
      </c>
      <c r="CM30" s="15">
        <v>0</v>
      </c>
      <c r="CN30" s="14" t="e">
        <f t="shared" si="16"/>
        <v>#DIV/0!</v>
      </c>
      <c r="CO30" s="14">
        <f t="shared" si="17"/>
        <v>5.52190935152933</v>
      </c>
    </row>
    <row r="31" spans="1:93" s="14" customFormat="1" ht="18" customHeight="1">
      <c r="A31" s="248"/>
      <c r="H31" s="30"/>
      <c r="I31" s="28"/>
      <c r="J31" s="28"/>
      <c r="K31" s="28"/>
      <c r="L31" s="28"/>
      <c r="M31" s="28"/>
      <c r="N31" s="28"/>
      <c r="O31" s="28"/>
      <c r="P31" s="28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K31" s="25"/>
      <c r="AM31" s="29"/>
      <c r="AN31" s="29"/>
      <c r="AO31" s="29"/>
      <c r="AP31" s="29"/>
      <c r="BY31" s="25"/>
      <c r="BZ31" s="34">
        <f t="shared" si="9"/>
        <v>206.8106059640663</v>
      </c>
      <c r="CA31" s="49">
        <f t="shared" si="14"/>
        <v>56</v>
      </c>
      <c r="CB31" s="34">
        <f t="shared" si="0"/>
        <v>461.9508082226582</v>
      </c>
      <c r="CC31" s="50">
        <f t="shared" si="10"/>
        <v>0.9773843811168246</v>
      </c>
      <c r="CD31" s="34">
        <f t="shared" si="18"/>
        <v>461.9508082226582</v>
      </c>
      <c r="CE31" s="34">
        <f t="shared" si="19"/>
        <v>461.9508082226582</v>
      </c>
      <c r="CF31" s="36" t="e">
        <f t="shared" si="20"/>
        <v>#DIV/0!</v>
      </c>
      <c r="CG31" s="51">
        <f t="shared" si="11"/>
        <v>11.097205126235927</v>
      </c>
      <c r="CH31" s="51">
        <f t="shared" si="12"/>
        <v>11.097205126235927</v>
      </c>
      <c r="CI31" s="51">
        <f t="shared" si="13"/>
        <v>11.097205126235927</v>
      </c>
      <c r="CJ31" s="130">
        <f t="shared" si="4"/>
        <v>11.097205126235927</v>
      </c>
      <c r="CK31" s="48">
        <f t="shared" si="5"/>
        <v>206.8106059640663</v>
      </c>
      <c r="CL31" s="15">
        <f t="shared" si="15"/>
        <v>5.285478354950325</v>
      </c>
      <c r="CM31" s="15">
        <v>0</v>
      </c>
      <c r="CN31" s="14" t="e">
        <f t="shared" si="16"/>
        <v>#DIV/0!</v>
      </c>
      <c r="CO31" s="14">
        <f t="shared" si="17"/>
        <v>5.285478354950325</v>
      </c>
    </row>
    <row r="32" spans="1:93" s="14" customFormat="1" ht="18" customHeight="1">
      <c r="A32" s="249" t="s">
        <v>440</v>
      </c>
      <c r="B32" s="30"/>
      <c r="C32" s="42"/>
      <c r="D32" s="158"/>
      <c r="E32" s="30"/>
      <c r="H32" s="3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K32" s="25"/>
      <c r="AM32" s="29"/>
      <c r="AN32" s="29"/>
      <c r="AO32" s="29"/>
      <c r="AP32" s="29"/>
      <c r="BY32" s="25"/>
      <c r="BZ32" s="34">
        <f t="shared" si="9"/>
        <v>205.59669673497842</v>
      </c>
      <c r="CA32" s="49">
        <f t="shared" si="14"/>
        <v>57</v>
      </c>
      <c r="CB32" s="34">
        <f t="shared" si="0"/>
        <v>441.7676575382544</v>
      </c>
      <c r="CC32" s="50">
        <f t="shared" si="10"/>
        <v>0.9948376736367678</v>
      </c>
      <c r="CD32" s="34">
        <f t="shared" si="18"/>
        <v>441.7676575382544</v>
      </c>
      <c r="CE32" s="34">
        <f t="shared" si="19"/>
        <v>441.76765753825447</v>
      </c>
      <c r="CF32" s="36" t="e">
        <f t="shared" si="20"/>
        <v>#DIV/0!</v>
      </c>
      <c r="CG32" s="51">
        <f t="shared" si="11"/>
        <v>10.969742294090716</v>
      </c>
      <c r="CH32" s="51">
        <f t="shared" si="12"/>
        <v>10.969742294090716</v>
      </c>
      <c r="CI32" s="51">
        <f t="shared" si="13"/>
        <v>10.969742294090716</v>
      </c>
      <c r="CJ32" s="130">
        <f t="shared" si="4"/>
        <v>10.969742294090716</v>
      </c>
      <c r="CK32" s="48">
        <f t="shared" si="5"/>
        <v>205.59669673497842</v>
      </c>
      <c r="CL32" s="15">
        <f t="shared" si="15"/>
        <v>5.054549857417098</v>
      </c>
      <c r="CM32" s="15">
        <v>0</v>
      </c>
      <c r="CN32" s="14" t="e">
        <f t="shared" si="16"/>
        <v>#DIV/0!</v>
      </c>
      <c r="CO32" s="14">
        <f t="shared" si="17"/>
        <v>5.054549857417098</v>
      </c>
    </row>
    <row r="33" spans="1:93" s="14" customFormat="1" ht="18" customHeight="1">
      <c r="A33" s="246"/>
      <c r="B33" s="244" t="s">
        <v>234</v>
      </c>
      <c r="C33" s="27" t="s">
        <v>76</v>
      </c>
      <c r="D33" s="213">
        <f>'入力'!E12</f>
        <v>0</v>
      </c>
      <c r="E33" s="30" t="s">
        <v>235</v>
      </c>
      <c r="H33" s="30"/>
      <c r="I33" s="28"/>
      <c r="J33" s="28"/>
      <c r="K33" s="28"/>
      <c r="L33" s="28"/>
      <c r="M33" s="28"/>
      <c r="N33" s="28"/>
      <c r="O33" s="28"/>
      <c r="P33" s="28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K33" s="25"/>
      <c r="AM33" s="29"/>
      <c r="AN33" s="29"/>
      <c r="AO33" s="29"/>
      <c r="AP33" s="29"/>
      <c r="BY33" s="25"/>
      <c r="BZ33" s="34">
        <f t="shared" si="9"/>
        <v>203.94571454019</v>
      </c>
      <c r="CA33" s="49">
        <f t="shared" si="14"/>
        <v>58</v>
      </c>
      <c r="CB33" s="34">
        <f t="shared" si="0"/>
        <v>422.036948483252</v>
      </c>
      <c r="CC33" s="50">
        <f t="shared" si="10"/>
        <v>1.0122909661567112</v>
      </c>
      <c r="CD33" s="34">
        <f t="shared" si="18"/>
        <v>422.036948483252</v>
      </c>
      <c r="CE33" s="34">
        <f t="shared" si="19"/>
        <v>422.0369484832519</v>
      </c>
      <c r="CF33" s="36" t="e">
        <f t="shared" si="20"/>
        <v>#DIV/0!</v>
      </c>
      <c r="CG33" s="51">
        <f t="shared" si="11"/>
        <v>10.848441310931287</v>
      </c>
      <c r="CH33" s="51">
        <f t="shared" si="12"/>
        <v>10.848441310931287</v>
      </c>
      <c r="CI33" s="51">
        <f t="shared" si="13"/>
        <v>10.848441310931287</v>
      </c>
      <c r="CJ33" s="130">
        <f t="shared" si="4"/>
        <v>10.848441310931287</v>
      </c>
      <c r="CK33" s="48">
        <f t="shared" si="5"/>
        <v>203.94571454019</v>
      </c>
      <c r="CL33" s="15">
        <f t="shared" si="15"/>
        <v>4.828798037565812</v>
      </c>
      <c r="CM33" s="15">
        <v>0</v>
      </c>
      <c r="CN33" s="14" t="e">
        <f t="shared" si="16"/>
        <v>#DIV/0!</v>
      </c>
      <c r="CO33" s="14">
        <f t="shared" si="17"/>
        <v>4.828798037565812</v>
      </c>
    </row>
    <row r="34" spans="1:93" s="14" customFormat="1" ht="18" customHeight="1">
      <c r="A34" s="249"/>
      <c r="B34" s="243" t="s">
        <v>217</v>
      </c>
      <c r="C34" s="27" t="s">
        <v>77</v>
      </c>
      <c r="D34" s="213">
        <f>IF(data!F3=8,'入力'!E13,0)</f>
        <v>0</v>
      </c>
      <c r="E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K34" s="25"/>
      <c r="AM34" s="29"/>
      <c r="AN34" s="29"/>
      <c r="AO34" s="29"/>
      <c r="AP34" s="29"/>
      <c r="BY34" s="25"/>
      <c r="BZ34" s="34">
        <f t="shared" si="9"/>
        <v>201.86533114560467</v>
      </c>
      <c r="CA34" s="49">
        <f t="shared" si="14"/>
        <v>59</v>
      </c>
      <c r="CB34" s="34">
        <f t="shared" si="0"/>
        <v>402.7320065476808</v>
      </c>
      <c r="CC34" s="50">
        <f t="shared" si="10"/>
        <v>1.0297442586766543</v>
      </c>
      <c r="CD34" s="34">
        <f t="shared" si="18"/>
        <v>402.7320065476808</v>
      </c>
      <c r="CE34" s="34">
        <f t="shared" si="19"/>
        <v>402.7320065476808</v>
      </c>
      <c r="CF34" s="36" t="e">
        <f t="shared" si="20"/>
        <v>#DIV/0!</v>
      </c>
      <c r="CG34" s="51">
        <f t="shared" si="11"/>
        <v>10.73302725438104</v>
      </c>
      <c r="CH34" s="51">
        <f t="shared" si="12"/>
        <v>10.73302725438104</v>
      </c>
      <c r="CI34" s="51">
        <f t="shared" si="13"/>
        <v>10.73302725438104</v>
      </c>
      <c r="CJ34" s="130">
        <f t="shared" si="4"/>
        <v>10.73302725438104</v>
      </c>
      <c r="CK34" s="48">
        <f t="shared" si="5"/>
        <v>201.86533114560467</v>
      </c>
      <c r="CL34" s="15">
        <f t="shared" si="15"/>
        <v>4.607917695053557</v>
      </c>
      <c r="CM34" s="15">
        <v>0</v>
      </c>
      <c r="CN34" s="14" t="e">
        <f t="shared" si="16"/>
        <v>#DIV/0!</v>
      </c>
      <c r="CO34" s="14">
        <f t="shared" si="17"/>
        <v>4.607917695053557</v>
      </c>
    </row>
    <row r="35" spans="1:93" s="14" customFormat="1" ht="18" customHeight="1">
      <c r="A35" s="249" t="s">
        <v>454</v>
      </c>
      <c r="B35" s="26"/>
      <c r="C35" s="27"/>
      <c r="D35" s="213"/>
      <c r="E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K35" s="25"/>
      <c r="AM35" s="29"/>
      <c r="AN35" s="29"/>
      <c r="AO35" s="29"/>
      <c r="AP35" s="29"/>
      <c r="BY35" s="25"/>
      <c r="BZ35" s="34">
        <f t="shared" si="9"/>
        <v>199.36171706455363</v>
      </c>
      <c r="CA35" s="49">
        <f t="shared" si="14"/>
        <v>60</v>
      </c>
      <c r="CB35" s="34">
        <f t="shared" si="0"/>
        <v>383.82780444999423</v>
      </c>
      <c r="CC35" s="50">
        <f t="shared" si="10"/>
        <v>1.0471975511965976</v>
      </c>
      <c r="CD35" s="34">
        <f t="shared" si="18"/>
        <v>383.82780444999423</v>
      </c>
      <c r="CE35" s="34">
        <f t="shared" si="19"/>
        <v>383.8278044499944</v>
      </c>
      <c r="CF35" s="36" t="e">
        <f t="shared" si="20"/>
        <v>#DIV/0!</v>
      </c>
      <c r="CG35" s="51">
        <f t="shared" si="11"/>
        <v>10.623244953089113</v>
      </c>
      <c r="CH35" s="51">
        <f t="shared" si="12"/>
        <v>10.623244953089115</v>
      </c>
      <c r="CI35" s="51">
        <f t="shared" si="13"/>
        <v>10.623244953089113</v>
      </c>
      <c r="CJ35" s="130">
        <f t="shared" si="4"/>
        <v>10.623244953089113</v>
      </c>
      <c r="CK35" s="48">
        <f t="shared" si="5"/>
        <v>199.36171706455363</v>
      </c>
      <c r="CL35" s="15">
        <f t="shared" si="15"/>
        <v>4.391622476544558</v>
      </c>
      <c r="CM35" s="15">
        <v>0</v>
      </c>
      <c r="CN35" s="14" t="e">
        <f t="shared" si="16"/>
        <v>#DIV/0!</v>
      </c>
      <c r="CO35" s="14">
        <f t="shared" si="17"/>
        <v>4.391622476544558</v>
      </c>
    </row>
    <row r="36" spans="1:93" s="14" customFormat="1" ht="18" customHeight="1">
      <c r="A36" s="246"/>
      <c r="B36" s="244" t="s">
        <v>156</v>
      </c>
      <c r="C36" s="27"/>
      <c r="D36" s="213" t="str">
        <f>data!C13</f>
        <v>なし</v>
      </c>
      <c r="E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K36" s="25"/>
      <c r="AM36" s="29"/>
      <c r="AN36" s="29"/>
      <c r="AO36" s="29"/>
      <c r="AP36" s="29"/>
      <c r="BY36" s="25"/>
      <c r="BZ36" s="34">
        <f t="shared" si="9"/>
        <v>196.43960439417808</v>
      </c>
      <c r="CA36" s="49">
        <f t="shared" si="14"/>
        <v>61</v>
      </c>
      <c r="CB36" s="34">
        <f t="shared" si="0"/>
        <v>365.30082209214237</v>
      </c>
      <c r="CC36" s="50">
        <f t="shared" si="10"/>
        <v>1.064650843716541</v>
      </c>
      <c r="CD36" s="34">
        <f t="shared" si="18"/>
        <v>365.30082209214237</v>
      </c>
      <c r="CE36" s="34">
        <f t="shared" si="19"/>
        <v>365.30082209214237</v>
      </c>
      <c r="CF36" s="36" t="e">
        <f t="shared" si="20"/>
        <v>#DIV/0!</v>
      </c>
      <c r="CG36" s="51">
        <f t="shared" si="11"/>
        <v>10.518857424434543</v>
      </c>
      <c r="CH36" s="51">
        <f t="shared" si="12"/>
        <v>10.518857424434543</v>
      </c>
      <c r="CI36" s="51">
        <f t="shared" si="13"/>
        <v>10.518857424434543</v>
      </c>
      <c r="CJ36" s="130">
        <f t="shared" si="4"/>
        <v>10.518857424434543</v>
      </c>
      <c r="CK36" s="48">
        <f t="shared" si="5"/>
        <v>196.43960439417808</v>
      </c>
      <c r="CL36" s="15">
        <f t="shared" si="15"/>
        <v>4.179643273365475</v>
      </c>
      <c r="CM36" s="15">
        <v>0</v>
      </c>
      <c r="CN36" s="14" t="e">
        <f t="shared" si="16"/>
        <v>#DIV/0!</v>
      </c>
      <c r="CO36" s="14">
        <f t="shared" si="17"/>
        <v>4.179643273365475</v>
      </c>
    </row>
    <row r="37" spans="1:93" s="14" customFormat="1" ht="18" customHeight="1">
      <c r="A37" s="249"/>
      <c r="B37" s="244" t="s">
        <v>236</v>
      </c>
      <c r="C37" s="42" t="s">
        <v>447</v>
      </c>
      <c r="D37" s="213">
        <f>data!C14</f>
        <v>0</v>
      </c>
      <c r="E37" s="30" t="s">
        <v>157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K37" s="25"/>
      <c r="AM37" s="29"/>
      <c r="AN37" s="29"/>
      <c r="AO37" s="29"/>
      <c r="AP37" s="29"/>
      <c r="BY37" s="25"/>
      <c r="BZ37" s="34">
        <f t="shared" si="9"/>
        <v>193.10233808804992</v>
      </c>
      <c r="CA37" s="49">
        <f t="shared" si="14"/>
        <v>62</v>
      </c>
      <c r="CB37" s="34">
        <f t="shared" si="0"/>
        <v>347.1289198103619</v>
      </c>
      <c r="CC37" s="50">
        <f t="shared" si="10"/>
        <v>1.0821041362364843</v>
      </c>
      <c r="CD37" s="34">
        <f t="shared" si="18"/>
        <v>347.1289198103619</v>
      </c>
      <c r="CE37" s="34">
        <f t="shared" si="19"/>
        <v>347.1289198103619</v>
      </c>
      <c r="CF37" s="36" t="e">
        <f t="shared" si="20"/>
        <v>#DIV/0!</v>
      </c>
      <c r="CG37" s="51">
        <f t="shared" si="11"/>
        <v>10.419644466339161</v>
      </c>
      <c r="CH37" s="51">
        <f t="shared" si="12"/>
        <v>10.419644466339161</v>
      </c>
      <c r="CI37" s="51">
        <f t="shared" si="13"/>
        <v>10.419644466339161</v>
      </c>
      <c r="CJ37" s="130">
        <f t="shared" si="4"/>
        <v>10.419644466339161</v>
      </c>
      <c r="CK37" s="48">
        <f t="shared" si="5"/>
        <v>193.10233808804992</v>
      </c>
      <c r="CL37" s="15">
        <f t="shared" si="15"/>
        <v>3.9717267712856046</v>
      </c>
      <c r="CM37" s="15">
        <v>0</v>
      </c>
      <c r="CN37" s="14" t="e">
        <f t="shared" si="16"/>
        <v>#DIV/0!</v>
      </c>
      <c r="CO37" s="14">
        <f t="shared" si="17"/>
        <v>3.9717267712856046</v>
      </c>
    </row>
    <row r="38" spans="1:93" s="14" customFormat="1" ht="18" customHeight="1">
      <c r="A38" s="249"/>
      <c r="B38" s="244" t="s">
        <v>158</v>
      </c>
      <c r="C38" s="42" t="s">
        <v>448</v>
      </c>
      <c r="D38" s="213">
        <f>data!C15</f>
        <v>0</v>
      </c>
      <c r="E38" s="30" t="s">
        <v>237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K38" s="25"/>
      <c r="AM38" s="29"/>
      <c r="AN38" s="29"/>
      <c r="AO38" s="29"/>
      <c r="AP38" s="29"/>
      <c r="BY38" s="25"/>
      <c r="BZ38" s="34">
        <f t="shared" si="9"/>
        <v>189.35191644300852</v>
      </c>
      <c r="CA38" s="49">
        <f t="shared" si="14"/>
        <v>63</v>
      </c>
      <c r="CB38" s="34">
        <f t="shared" si="0"/>
        <v>329.2912234294803</v>
      </c>
      <c r="CC38" s="50">
        <f t="shared" si="10"/>
        <v>1.0995574287564276</v>
      </c>
      <c r="CD38" s="34">
        <f t="shared" si="18"/>
        <v>329.2912234294803</v>
      </c>
      <c r="CE38" s="34">
        <f t="shared" si="19"/>
        <v>329.2912234294803</v>
      </c>
      <c r="CF38" s="36" t="e">
        <f t="shared" si="20"/>
        <v>#DIV/0!</v>
      </c>
      <c r="CG38" s="51">
        <f t="shared" si="11"/>
        <v>10.32540138623612</v>
      </c>
      <c r="CH38" s="51">
        <f t="shared" si="12"/>
        <v>10.325401386236118</v>
      </c>
      <c r="CI38" s="51">
        <f t="shared" si="13"/>
        <v>10.32540138623612</v>
      </c>
      <c r="CJ38" s="130">
        <f t="shared" si="4"/>
        <v>10.32540138623612</v>
      </c>
      <c r="CK38" s="48">
        <f t="shared" si="5"/>
        <v>189.35191644300852</v>
      </c>
      <c r="CL38" s="15">
        <f t="shared" si="15"/>
        <v>3.7676341353487457</v>
      </c>
      <c r="CM38" s="15">
        <v>0</v>
      </c>
      <c r="CN38" s="14" t="e">
        <f t="shared" si="16"/>
        <v>#DIV/0!</v>
      </c>
      <c r="CO38" s="14">
        <f t="shared" si="17"/>
        <v>3.7676341353487457</v>
      </c>
    </row>
    <row r="39" spans="1:93" s="14" customFormat="1" ht="18" customHeight="1">
      <c r="A39" s="246" t="s">
        <v>455</v>
      </c>
      <c r="B39" s="7"/>
      <c r="C39" s="42"/>
      <c r="D39" s="213"/>
      <c r="E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K39" s="25"/>
      <c r="AM39" s="29"/>
      <c r="AN39" s="29"/>
      <c r="AO39" s="29"/>
      <c r="AP39" s="29"/>
      <c r="BY39" s="25"/>
      <c r="BZ39" s="34">
        <f t="shared" si="9"/>
        <v>185.1890214215472</v>
      </c>
      <c r="CA39" s="49">
        <f t="shared" si="14"/>
        <v>64</v>
      </c>
      <c r="CB39" s="34">
        <f t="shared" si="0"/>
        <v>311.7680198140377</v>
      </c>
      <c r="CC39" s="50">
        <f t="shared" si="10"/>
        <v>1.117010721276371</v>
      </c>
      <c r="CD39" s="34">
        <f t="shared" si="18"/>
        <v>311.7680198140377</v>
      </c>
      <c r="CE39" s="34">
        <f t="shared" si="19"/>
        <v>311.76801981403776</v>
      </c>
      <c r="CF39" s="36" t="e">
        <f t="shared" si="20"/>
        <v>#DIV/0!</v>
      </c>
      <c r="CG39" s="51">
        <f t="shared" si="11"/>
        <v>10.235937852371737</v>
      </c>
      <c r="CH39" s="51">
        <f t="shared" si="12"/>
        <v>10.235937852371736</v>
      </c>
      <c r="CI39" s="51">
        <f t="shared" si="13"/>
        <v>10.235937852371737</v>
      </c>
      <c r="CJ39" s="130">
        <f t="shared" si="4"/>
        <v>10.235937852371737</v>
      </c>
      <c r="CK39" s="48">
        <f t="shared" si="5"/>
        <v>185.1890214215472</v>
      </c>
      <c r="CL39" s="15">
        <f t="shared" si="15"/>
        <v>3.5671398148059263</v>
      </c>
      <c r="CM39" s="15">
        <v>0</v>
      </c>
      <c r="CN39" s="14" t="e">
        <f t="shared" si="16"/>
        <v>#DIV/0!</v>
      </c>
      <c r="CO39" s="14">
        <f t="shared" si="17"/>
        <v>3.5671398148059263</v>
      </c>
    </row>
    <row r="40" spans="1:93" s="14" customFormat="1" ht="18" customHeight="1">
      <c r="A40" s="246"/>
      <c r="B40" s="111" t="s">
        <v>143</v>
      </c>
      <c r="C40" s="2" t="s">
        <v>78</v>
      </c>
      <c r="D40" s="318">
        <f>'入力'!E15</f>
        <v>0.7</v>
      </c>
      <c r="E40" s="26"/>
      <c r="H40" s="26"/>
      <c r="I40" s="26"/>
      <c r="J40" s="26"/>
      <c r="K40" s="26"/>
      <c r="L40" s="26"/>
      <c r="M40" s="26"/>
      <c r="N40" s="26"/>
      <c r="O40" s="26"/>
      <c r="P40" s="26"/>
      <c r="Q40" s="14" t="str">
        <f>C43&amp;Df&amp;E43</f>
        <v>Df=0m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K40" s="25"/>
      <c r="AM40" s="29"/>
      <c r="AN40" s="29"/>
      <c r="AO40" s="29"/>
      <c r="AP40" s="29"/>
      <c r="BY40" s="25"/>
      <c r="BZ40" s="34">
        <f t="shared" si="9"/>
        <v>180.6130392886706</v>
      </c>
      <c r="CA40" s="49">
        <f t="shared" si="14"/>
        <v>65</v>
      </c>
      <c r="CB40" s="34">
        <f t="shared" si="0"/>
        <v>294.5406617692712</v>
      </c>
      <c r="CC40" s="50">
        <f t="shared" si="10"/>
        <v>1.1344640137963142</v>
      </c>
      <c r="CD40" s="34">
        <f>1/2*γs*(Ha^2*COS(CC40-α)/COS(α)-zc^2*COS(CC40))/SIN(CC40)+CL40*q</f>
        <v>294.5406617692712</v>
      </c>
      <c r="CE40" s="34">
        <f>1/2*γs*(Ha^2*COS(CC40-α)*COS(α-β)/(COS(α))^2-zc^2*COS(CC40)*COS(β))/SIN(CC40-β)</f>
        <v>294.5406617692712</v>
      </c>
      <c r="CF40" s="36" t="e">
        <f>1/2*γs*(H^2*COS(CC40-α)/SIN(CC40)-Ho^2*COS(α-β)/SIN(β)-zc^2*COS(α)/TAN(CC40))/COS(α)+CN40*q</f>
        <v>#DIV/0!</v>
      </c>
      <c r="CG40" s="51">
        <f t="shared" si="11"/>
        <v>10.151076854454924</v>
      </c>
      <c r="CH40" s="51">
        <f t="shared" si="12"/>
        <v>10.151076854454923</v>
      </c>
      <c r="CI40" s="51">
        <f t="shared" si="13"/>
        <v>10.151076854454924</v>
      </c>
      <c r="CJ40" s="130">
        <f t="shared" si="4"/>
        <v>10.151076854454924</v>
      </c>
      <c r="CK40" s="48">
        <f t="shared" si="5"/>
        <v>180.6130392886706</v>
      </c>
      <c r="CL40" s="15">
        <f t="shared" si="15"/>
        <v>3.3700304550259874</v>
      </c>
      <c r="CM40" s="15">
        <v>0</v>
      </c>
      <c r="CN40" s="14" t="e">
        <f t="shared" si="16"/>
        <v>#DIV/0!</v>
      </c>
      <c r="CO40" s="14">
        <f t="shared" si="17"/>
        <v>3.3700304550259874</v>
      </c>
    </row>
    <row r="41" spans="1:93" s="14" customFormat="1" ht="18" customHeight="1">
      <c r="A41" s="246"/>
      <c r="B41" s="111" t="s">
        <v>238</v>
      </c>
      <c r="C41" s="27" t="s">
        <v>79</v>
      </c>
      <c r="D41" s="213">
        <f>'入力'!E16</f>
        <v>900</v>
      </c>
      <c r="E41" s="30" t="s">
        <v>239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K41" s="25"/>
      <c r="AM41" s="29"/>
      <c r="AN41" s="29"/>
      <c r="AO41" s="29"/>
      <c r="AP41" s="29"/>
      <c r="BG41" s="15"/>
      <c r="BH41" s="15"/>
      <c r="BY41" s="25"/>
      <c r="BZ41" s="34">
        <f t="shared" si="9"/>
        <v>175.62207191071306</v>
      </c>
      <c r="CA41" s="49">
        <f t="shared" si="14"/>
        <v>66</v>
      </c>
      <c r="CB41" s="34">
        <f t="shared" si="0"/>
        <v>277.5914812828876</v>
      </c>
      <c r="CC41" s="50">
        <f t="shared" si="10"/>
        <v>1.1519173063162575</v>
      </c>
      <c r="CD41" s="34">
        <f aca="true" t="shared" si="21" ref="CD41:CD54">1/2*γs*(Ha^2*COS(CC41-α)/COS(α)-zc^2*COS(CC41))/SIN(CC41)+CL41*q</f>
        <v>277.5914812828876</v>
      </c>
      <c r="CE41" s="34">
        <f aca="true" t="shared" si="22" ref="CE41:CE54">1/2*γs*(Ha^2*COS(CC41-α)*COS(α-β)/(COS(α))^2-zc^2*COS(CC41)*COS(β))/SIN(CC41-β)</f>
        <v>277.5914812828876</v>
      </c>
      <c r="CF41" s="36" t="e">
        <f aca="true" t="shared" si="23" ref="CF41:CF54">1/2*γs*(H^2*COS(CC41-α)/SIN(CC41)-Ho^2*COS(α-β)/SIN(β)-zc^2*COS(α)/TAN(CC41))/COS(α)+CN41*q</f>
        <v>#DIV/0!</v>
      </c>
      <c r="CG41" s="51">
        <f t="shared" si="11"/>
        <v>10.07065376225563</v>
      </c>
      <c r="CH41" s="51">
        <f t="shared" si="12"/>
        <v>10.07065376225563</v>
      </c>
      <c r="CI41" s="51">
        <f t="shared" si="13"/>
        <v>10.07065376225563</v>
      </c>
      <c r="CJ41" s="130">
        <f t="shared" si="4"/>
        <v>10.07065376225563</v>
      </c>
      <c r="CK41" s="48">
        <f t="shared" si="5"/>
        <v>175.62207191071306</v>
      </c>
      <c r="CL41" s="15">
        <f t="shared" si="15"/>
        <v>3.176103904838532</v>
      </c>
      <c r="CM41" s="15">
        <v>0</v>
      </c>
      <c r="CN41" s="14" t="e">
        <f t="shared" si="16"/>
        <v>#DIV/0!</v>
      </c>
      <c r="CO41" s="14">
        <f t="shared" si="17"/>
        <v>3.176103904838532</v>
      </c>
    </row>
    <row r="42" spans="1:93" s="14" customFormat="1" ht="18" customHeight="1">
      <c r="A42" s="248" t="s">
        <v>456</v>
      </c>
      <c r="B42" s="108"/>
      <c r="C42" s="27"/>
      <c r="D42" s="213"/>
      <c r="E42" s="3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K42" s="25"/>
      <c r="AM42" s="29"/>
      <c r="AN42" s="29"/>
      <c r="AO42" s="29"/>
      <c r="AP42" s="29"/>
      <c r="BG42" s="15"/>
      <c r="BH42" s="15"/>
      <c r="BY42" s="25"/>
      <c r="BZ42" s="34">
        <f t="shared" si="9"/>
        <v>170.2129389402678</v>
      </c>
      <c r="CA42" s="49">
        <f t="shared" si="14"/>
        <v>67</v>
      </c>
      <c r="CB42" s="34">
        <f t="shared" si="0"/>
        <v>260.903710217819</v>
      </c>
      <c r="CC42" s="50">
        <f t="shared" si="10"/>
        <v>1.1693705988362006</v>
      </c>
      <c r="CD42" s="34">
        <f t="shared" si="21"/>
        <v>260.903710217819</v>
      </c>
      <c r="CE42" s="34">
        <f t="shared" si="22"/>
        <v>260.9037102178191</v>
      </c>
      <c r="CF42" s="36" t="e">
        <f t="shared" si="23"/>
        <v>#DIV/0!</v>
      </c>
      <c r="CG42" s="51">
        <f t="shared" si="11"/>
        <v>9.994515472128725</v>
      </c>
      <c r="CH42" s="51">
        <f t="shared" si="12"/>
        <v>9.994515472128725</v>
      </c>
      <c r="CI42" s="51">
        <f t="shared" si="13"/>
        <v>9.994515472128725</v>
      </c>
      <c r="CJ42" s="130">
        <f t="shared" si="4"/>
        <v>9.994515472128725</v>
      </c>
      <c r="CK42" s="48">
        <f t="shared" si="5"/>
        <v>170.2129389402678</v>
      </c>
      <c r="CL42" s="15">
        <f t="shared" si="15"/>
        <v>2.9851683091283654</v>
      </c>
      <c r="CM42" s="15">
        <v>0</v>
      </c>
      <c r="CN42" s="14" t="e">
        <f t="shared" si="16"/>
        <v>#DIV/0!</v>
      </c>
      <c r="CO42" s="14">
        <f t="shared" si="17"/>
        <v>2.9851683091283654</v>
      </c>
    </row>
    <row r="43" spans="1:93" s="14" customFormat="1" ht="18" customHeight="1">
      <c r="A43" s="246"/>
      <c r="B43" s="102" t="s">
        <v>101</v>
      </c>
      <c r="C43" s="68" t="s">
        <v>449</v>
      </c>
      <c r="D43" s="213">
        <f>'入力'!E17</f>
        <v>0</v>
      </c>
      <c r="E43" s="79" t="s">
        <v>146</v>
      </c>
      <c r="F43" s="13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K43" s="25"/>
      <c r="AM43" s="29"/>
      <c r="AN43" s="29"/>
      <c r="AO43" s="29"/>
      <c r="AP43" s="29"/>
      <c r="BG43" s="15"/>
      <c r="BH43" s="15"/>
      <c r="BY43" s="25"/>
      <c r="BZ43" s="34">
        <f t="shared" si="9"/>
        <v>164.3811709934926</v>
      </c>
      <c r="CA43" s="49">
        <f t="shared" si="14"/>
        <v>68</v>
      </c>
      <c r="CB43" s="34">
        <f t="shared" si="0"/>
        <v>244.46140766953272</v>
      </c>
      <c r="CC43" s="50">
        <f t="shared" si="10"/>
        <v>1.1868238913561442</v>
      </c>
      <c r="CD43" s="34">
        <f t="shared" si="21"/>
        <v>244.46140766953272</v>
      </c>
      <c r="CE43" s="34">
        <f t="shared" si="22"/>
        <v>244.46140766953278</v>
      </c>
      <c r="CF43" s="36" t="e">
        <f t="shared" si="23"/>
        <v>#DIV/0!</v>
      </c>
      <c r="CG43" s="51">
        <f t="shared" si="11"/>
        <v>9.922519632633767</v>
      </c>
      <c r="CH43" s="51">
        <f t="shared" si="12"/>
        <v>9.922519632633765</v>
      </c>
      <c r="CI43" s="51">
        <f t="shared" si="13"/>
        <v>9.922519632633767</v>
      </c>
      <c r="CJ43" s="130">
        <f t="shared" si="4"/>
        <v>9.922519632633767</v>
      </c>
      <c r="CK43" s="48">
        <f t="shared" si="5"/>
        <v>164.3811709934926</v>
      </c>
      <c r="CL43" s="15">
        <f t="shared" si="15"/>
        <v>2.7970412776834426</v>
      </c>
      <c r="CM43" s="15">
        <v>0</v>
      </c>
      <c r="CN43" s="14" t="e">
        <f t="shared" si="16"/>
        <v>#DIV/0!</v>
      </c>
      <c r="CO43" s="14">
        <f t="shared" si="17"/>
        <v>2.7970412776834426</v>
      </c>
    </row>
    <row r="44" spans="1:93" s="14" customFormat="1" ht="18" customHeight="1">
      <c r="A44" s="248"/>
      <c r="B44" s="15"/>
      <c r="C44" s="102" t="s">
        <v>159</v>
      </c>
      <c r="D44" s="8" t="s">
        <v>240</v>
      </c>
      <c r="E44" s="318">
        <f>'入力'!E18</f>
        <v>18</v>
      </c>
      <c r="F44" s="24" t="s">
        <v>223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K44" s="25"/>
      <c r="AM44" s="29"/>
      <c r="AN44" s="29"/>
      <c r="AO44" s="29"/>
      <c r="AP44" s="29"/>
      <c r="BG44" s="15"/>
      <c r="BH44" s="15"/>
      <c r="BY44" s="25"/>
      <c r="BZ44" s="34">
        <f t="shared" si="9"/>
        <v>158.12099381119572</v>
      </c>
      <c r="CA44" s="49">
        <f t="shared" si="14"/>
        <v>69</v>
      </c>
      <c r="CB44" s="34">
        <f t="shared" si="0"/>
        <v>228.2493932912771</v>
      </c>
      <c r="CC44" s="50">
        <f t="shared" si="10"/>
        <v>1.2042771838760873</v>
      </c>
      <c r="CD44" s="34">
        <f t="shared" si="21"/>
        <v>228.2493932912771</v>
      </c>
      <c r="CE44" s="34">
        <f t="shared" si="22"/>
        <v>228.2493932912771</v>
      </c>
      <c r="CF44" s="36" t="e">
        <f t="shared" si="23"/>
        <v>#DIV/0!</v>
      </c>
      <c r="CG44" s="51">
        <f t="shared" si="11"/>
        <v>9.854533941460666</v>
      </c>
      <c r="CH44" s="51">
        <f t="shared" si="12"/>
        <v>9.854533941460666</v>
      </c>
      <c r="CI44" s="51">
        <f t="shared" si="13"/>
        <v>9.854533941460666</v>
      </c>
      <c r="CJ44" s="130">
        <f t="shared" si="4"/>
        <v>9.854533941460666</v>
      </c>
      <c r="CK44" s="48">
        <f t="shared" si="5"/>
        <v>158.12099381119572</v>
      </c>
      <c r="CL44" s="15">
        <f t="shared" si="15"/>
        <v>2.6115491223258274</v>
      </c>
      <c r="CM44" s="15">
        <v>0</v>
      </c>
      <c r="CN44" s="14" t="e">
        <f t="shared" si="16"/>
        <v>#DIV/0!</v>
      </c>
      <c r="CO44" s="14">
        <f t="shared" si="17"/>
        <v>2.6115491223258274</v>
      </c>
    </row>
    <row r="45" spans="1:93" s="14" customFormat="1" ht="18" customHeight="1">
      <c r="A45" s="248"/>
      <c r="B45" s="15"/>
      <c r="C45" s="102" t="s">
        <v>147</v>
      </c>
      <c r="D45" s="8" t="s">
        <v>241</v>
      </c>
      <c r="E45" s="318">
        <f>'入力'!E19</f>
        <v>30</v>
      </c>
      <c r="F45" s="103" t="s">
        <v>212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5">
        <f>data!B21</f>
        <v>1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K45" s="25"/>
      <c r="AM45" s="29"/>
      <c r="AN45" s="29"/>
      <c r="AO45" s="29"/>
      <c r="AP45" s="29"/>
      <c r="BG45" s="15"/>
      <c r="BH45" s="15"/>
      <c r="BZ45" s="34">
        <f t="shared" si="9"/>
        <v>151.42530328090794</v>
      </c>
      <c r="CA45" s="49">
        <f t="shared" si="14"/>
        <v>70</v>
      </c>
      <c r="CB45" s="34">
        <f t="shared" si="0"/>
        <v>212.253185968768</v>
      </c>
      <c r="CC45" s="50">
        <f t="shared" si="10"/>
        <v>1.2217304763960306</v>
      </c>
      <c r="CD45" s="34">
        <f t="shared" si="21"/>
        <v>212.253185968768</v>
      </c>
      <c r="CE45" s="34">
        <f t="shared" si="22"/>
        <v>212.25318596876804</v>
      </c>
      <c r="CF45" s="36" t="e">
        <f t="shared" si="23"/>
        <v>#DIV/0!</v>
      </c>
      <c r="CG45" s="51">
        <f t="shared" si="11"/>
        <v>9.790435506778392</v>
      </c>
      <c r="CH45" s="51">
        <f t="shared" si="12"/>
        <v>9.790435506778392</v>
      </c>
      <c r="CI45" s="51">
        <f t="shared" si="13"/>
        <v>9.790435506778392</v>
      </c>
      <c r="CJ45" s="130">
        <f t="shared" si="4"/>
        <v>9.790435506778392</v>
      </c>
      <c r="CK45" s="48">
        <f t="shared" si="5"/>
        <v>151.42530328090794</v>
      </c>
      <c r="CL45" s="15">
        <f t="shared" si="15"/>
        <v>2.4285261552490627</v>
      </c>
      <c r="CM45" s="15">
        <v>0</v>
      </c>
      <c r="CN45" s="14" t="e">
        <f t="shared" si="16"/>
        <v>#DIV/0!</v>
      </c>
      <c r="CO45" s="14">
        <f t="shared" si="17"/>
        <v>2.4285261552490627</v>
      </c>
    </row>
    <row r="46" spans="1:93" s="14" customFormat="1" ht="18" customHeight="1">
      <c r="A46" s="248"/>
      <c r="B46" s="15"/>
      <c r="C46" s="102" t="s">
        <v>160</v>
      </c>
      <c r="D46" s="68" t="s">
        <v>242</v>
      </c>
      <c r="E46" s="213">
        <f>'入力'!E20</f>
        <v>0</v>
      </c>
      <c r="F46" s="30" t="s">
        <v>243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K46" s="25"/>
      <c r="AM46" s="29"/>
      <c r="AN46" s="29"/>
      <c r="AO46" s="29"/>
      <c r="AP46" s="29"/>
      <c r="BG46" s="15"/>
      <c r="BH46" s="15"/>
      <c r="BY46" s="25"/>
      <c r="BZ46" s="34">
        <f aca="true" t="shared" si="24" ref="BZ46:BZ54">(CB46/COS(θ)*SIN(CC46-φ+θ)-cu*CJ46*COS(φ))/COS(CC46-φ-δu-α)</f>
        <v>144.2856310813267</v>
      </c>
      <c r="CA46" s="49">
        <f>CA45+1</f>
        <v>71</v>
      </c>
      <c r="CB46" s="34">
        <f t="shared" si="0"/>
        <v>196.45894729395405</v>
      </c>
      <c r="CC46" s="50">
        <f t="shared" si="10"/>
        <v>1.239183768915974</v>
      </c>
      <c r="CD46" s="34">
        <f t="shared" si="21"/>
        <v>196.45894729395405</v>
      </c>
      <c r="CE46" s="34">
        <f t="shared" si="22"/>
        <v>196.45894729395405</v>
      </c>
      <c r="CF46" s="36" t="e">
        <f t="shared" si="23"/>
        <v>#DIV/0!</v>
      </c>
      <c r="CG46" s="51">
        <f t="shared" si="11"/>
        <v>9.73011026691737</v>
      </c>
      <c r="CH46" s="51">
        <f t="shared" si="12"/>
        <v>9.73011026691737</v>
      </c>
      <c r="CI46" s="51">
        <f t="shared" si="13"/>
        <v>9.73011026691737</v>
      </c>
      <c r="CJ46" s="130">
        <f t="shared" si="4"/>
        <v>9.73011026691737</v>
      </c>
      <c r="CK46" s="48">
        <f t="shared" si="5"/>
        <v>144.2856310813267</v>
      </c>
      <c r="CL46" s="15">
        <f t="shared" si="15"/>
        <v>2.2478140422649213</v>
      </c>
      <c r="CM46" s="15">
        <v>0</v>
      </c>
      <c r="CN46" s="14" t="e">
        <f t="shared" si="16"/>
        <v>#DIV/0!</v>
      </c>
      <c r="CO46" s="14">
        <f t="shared" si="17"/>
        <v>2.2478140422649213</v>
      </c>
    </row>
    <row r="47" spans="1:93" s="14" customFormat="1" ht="18" customHeight="1">
      <c r="A47" s="248" t="s">
        <v>457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K47" s="25"/>
      <c r="AM47" s="29"/>
      <c r="AN47" s="29"/>
      <c r="AO47" s="29"/>
      <c r="AP47" s="29"/>
      <c r="BF47" s="15"/>
      <c r="BG47" s="15"/>
      <c r="BY47" s="25"/>
      <c r="BZ47" s="34">
        <f t="shared" si="24"/>
        <v>136.69210059071975</v>
      </c>
      <c r="CA47" s="49">
        <f>CA46+1</f>
        <v>72</v>
      </c>
      <c r="CB47" s="34">
        <f t="shared" si="0"/>
        <v>180.85342934695532</v>
      </c>
      <c r="CC47" s="50">
        <f t="shared" si="10"/>
        <v>1.2566370614359172</v>
      </c>
      <c r="CD47" s="34">
        <f t="shared" si="21"/>
        <v>180.85342934695532</v>
      </c>
      <c r="CE47" s="34">
        <f t="shared" si="22"/>
        <v>180.85342934695532</v>
      </c>
      <c r="CF47" s="36" t="e">
        <f t="shared" si="23"/>
        <v>#DIV/0!</v>
      </c>
      <c r="CG47" s="51">
        <f t="shared" si="11"/>
        <v>9.673452462992058</v>
      </c>
      <c r="CH47" s="51">
        <f t="shared" si="12"/>
        <v>9.673452462992058</v>
      </c>
      <c r="CI47" s="51">
        <f t="shared" si="13"/>
        <v>9.673452462992058</v>
      </c>
      <c r="CJ47" s="130">
        <f t="shared" si="4"/>
        <v>9.673452462992058</v>
      </c>
      <c r="CK47" s="48">
        <f t="shared" si="5"/>
        <v>136.69210059071975</v>
      </c>
      <c r="CL47" s="15">
        <f t="shared" si="15"/>
        <v>2.0692612053427393</v>
      </c>
      <c r="CM47" s="15">
        <v>0</v>
      </c>
      <c r="CN47" s="14" t="e">
        <f t="shared" si="16"/>
        <v>#DIV/0!</v>
      </c>
      <c r="CO47" s="14">
        <f t="shared" si="17"/>
        <v>2.0692612053427393</v>
      </c>
    </row>
    <row r="48" spans="1:93" s="14" customFormat="1" ht="18" customHeight="1">
      <c r="A48" s="248"/>
      <c r="B48" s="2" t="s">
        <v>244</v>
      </c>
      <c r="C48" s="8" t="s">
        <v>245</v>
      </c>
      <c r="D48" s="318">
        <f>'入力'!E22</f>
        <v>23</v>
      </c>
      <c r="E48" s="24" t="s">
        <v>223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5"/>
      <c r="AK48" s="25"/>
      <c r="AM48" s="29"/>
      <c r="AN48" s="29"/>
      <c r="AO48" s="29"/>
      <c r="AP48" s="29"/>
      <c r="BF48" s="15"/>
      <c r="BG48" s="15"/>
      <c r="BY48" s="25"/>
      <c r="BZ48" s="34">
        <f t="shared" si="24"/>
        <v>128.6333725746763</v>
      </c>
      <c r="CA48" s="49">
        <f t="shared" si="14"/>
        <v>73</v>
      </c>
      <c r="CB48" s="34">
        <f t="shared" si="0"/>
        <v>165.42392634727958</v>
      </c>
      <c r="CC48" s="50">
        <f t="shared" si="10"/>
        <v>1.2740903539558606</v>
      </c>
      <c r="CD48" s="34">
        <f t="shared" si="21"/>
        <v>165.42392634727958</v>
      </c>
      <c r="CE48" s="34">
        <f t="shared" si="22"/>
        <v>165.42392634727958</v>
      </c>
      <c r="CF48" s="36" t="e">
        <f t="shared" si="23"/>
        <v>#DIV/0!</v>
      </c>
      <c r="CG48" s="51">
        <f t="shared" si="11"/>
        <v>9.620364159681762</v>
      </c>
      <c r="CH48" s="51">
        <f t="shared" si="12"/>
        <v>9.62036415968176</v>
      </c>
      <c r="CI48" s="51">
        <f t="shared" si="13"/>
        <v>9.620364159681762</v>
      </c>
      <c r="CJ48" s="130">
        <f t="shared" si="4"/>
        <v>9.620364159681762</v>
      </c>
      <c r="CK48" s="48">
        <f>BZ48</f>
        <v>128.6333725746763</v>
      </c>
      <c r="CL48" s="15">
        <f t="shared" si="15"/>
        <v>1.892722269419676</v>
      </c>
      <c r="CM48" s="15">
        <v>0</v>
      </c>
      <c r="CN48" s="14" t="e">
        <f t="shared" si="16"/>
        <v>#DIV/0!</v>
      </c>
      <c r="CO48" s="14">
        <f t="shared" si="17"/>
        <v>1.892722269419676</v>
      </c>
    </row>
    <row r="49" spans="1:93" s="14" customFormat="1" ht="18" customHeight="1">
      <c r="A49" s="248"/>
      <c r="B49" s="2" t="s">
        <v>161</v>
      </c>
      <c r="C49" s="8" t="s">
        <v>246</v>
      </c>
      <c r="D49" s="318">
        <f>σck</f>
        <v>18</v>
      </c>
      <c r="E49" s="30" t="s">
        <v>247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K49" s="25"/>
      <c r="AM49" s="29"/>
      <c r="AN49" s="29"/>
      <c r="AO49" s="29"/>
      <c r="AP49" s="29"/>
      <c r="BF49" s="15"/>
      <c r="BG49" s="15"/>
      <c r="BY49" s="25"/>
      <c r="BZ49" s="34">
        <f t="shared" si="24"/>
        <v>120.09658003336888</v>
      </c>
      <c r="CA49" s="49">
        <f t="shared" si="14"/>
        <v>74</v>
      </c>
      <c r="CB49" s="34">
        <f t="shared" si="0"/>
        <v>150.15822978094224</v>
      </c>
      <c r="CC49" s="50">
        <f t="shared" si="10"/>
        <v>1.2915436464758039</v>
      </c>
      <c r="CD49" s="34">
        <f t="shared" si="21"/>
        <v>150.15822978094224</v>
      </c>
      <c r="CE49" s="34">
        <f t="shared" si="22"/>
        <v>150.15822978094224</v>
      </c>
      <c r="CF49" s="36" t="e">
        <f t="shared" si="23"/>
        <v>#DIV/0!</v>
      </c>
      <c r="CG49" s="51">
        <f t="shared" si="11"/>
        <v>9.570754809926738</v>
      </c>
      <c r="CH49" s="51">
        <f t="shared" si="12"/>
        <v>9.570754809926738</v>
      </c>
      <c r="CI49" s="51">
        <f t="shared" si="13"/>
        <v>9.570754809926738</v>
      </c>
      <c r="CJ49" s="130">
        <f t="shared" si="4"/>
        <v>9.570754809926738</v>
      </c>
      <c r="CK49" s="48">
        <f t="shared" si="5"/>
        <v>120.09658003336888</v>
      </c>
      <c r="CL49" s="15">
        <f t="shared" si="15"/>
        <v>1.7180575489810332</v>
      </c>
      <c r="CM49" s="15">
        <v>0</v>
      </c>
      <c r="CN49" s="14" t="e">
        <f t="shared" si="16"/>
        <v>#DIV/0!</v>
      </c>
      <c r="CO49" s="14">
        <f t="shared" si="17"/>
        <v>1.7180575489810332</v>
      </c>
    </row>
    <row r="50" spans="1:93" s="14" customFormat="1" ht="18" customHeight="1">
      <c r="A50" s="248"/>
      <c r="B50" s="2" t="s">
        <v>248</v>
      </c>
      <c r="C50" s="8" t="s">
        <v>249</v>
      </c>
      <c r="D50" s="318">
        <f>IF(data!B21=1,D49/4,D49/3)*D53</f>
        <v>4.5</v>
      </c>
      <c r="E50" s="30" t="s">
        <v>250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5"/>
      <c r="AM50" s="29"/>
      <c r="AN50" s="29"/>
      <c r="AO50" s="29"/>
      <c r="AP50" s="29"/>
      <c r="BY50" s="25"/>
      <c r="BZ50" s="34">
        <f t="shared" si="24"/>
        <v>111.06725144137643</v>
      </c>
      <c r="CA50" s="49">
        <f t="shared" si="14"/>
        <v>75</v>
      </c>
      <c r="CB50" s="34">
        <f t="shared" si="0"/>
        <v>135.04458665001707</v>
      </c>
      <c r="CC50" s="50">
        <f t="shared" si="10"/>
        <v>1.3089969389957472</v>
      </c>
      <c r="CD50" s="34">
        <f t="shared" si="21"/>
        <v>135.04458665001707</v>
      </c>
      <c r="CE50" s="34">
        <f t="shared" si="22"/>
        <v>135.04458665001707</v>
      </c>
      <c r="CF50" s="36" t="e">
        <f t="shared" si="23"/>
        <v>#DIV/0!</v>
      </c>
      <c r="CG50" s="51">
        <f t="shared" si="11"/>
        <v>9.524540859772763</v>
      </c>
      <c r="CH50" s="51">
        <f t="shared" si="12"/>
        <v>9.524540859772763</v>
      </c>
      <c r="CI50" s="51">
        <f t="shared" si="13"/>
        <v>9.524540859772763</v>
      </c>
      <c r="CJ50" s="130">
        <f t="shared" si="4"/>
        <v>9.524540859772763</v>
      </c>
      <c r="CK50" s="48">
        <f t="shared" si="5"/>
        <v>111.06725144137643</v>
      </c>
      <c r="CL50" s="15">
        <f t="shared" si="15"/>
        <v>1.5451325703663292</v>
      </c>
      <c r="CM50" s="15">
        <v>0</v>
      </c>
      <c r="CN50" s="14" t="e">
        <f t="shared" si="16"/>
        <v>#DIV/0!</v>
      </c>
      <c r="CO50" s="14">
        <f t="shared" si="17"/>
        <v>1.5451325703663292</v>
      </c>
    </row>
    <row r="51" spans="1:93" s="14" customFormat="1" ht="18" customHeight="1">
      <c r="A51" s="248"/>
      <c r="B51" s="2" t="s">
        <v>162</v>
      </c>
      <c r="C51" s="8" t="s">
        <v>251</v>
      </c>
      <c r="D51" s="318">
        <f>D49/80*D53</f>
        <v>0.225</v>
      </c>
      <c r="E51" s="30" t="s">
        <v>250</v>
      </c>
      <c r="H51" s="26"/>
      <c r="I51" s="26"/>
      <c r="J51" s="26"/>
      <c r="K51" s="26"/>
      <c r="L51" s="26"/>
      <c r="M51" s="26"/>
      <c r="N51" s="26"/>
      <c r="O51" s="26"/>
      <c r="P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3"/>
      <c r="AF51" s="13"/>
      <c r="AG51" s="13"/>
      <c r="AH51" s="13"/>
      <c r="AI51" s="13"/>
      <c r="AJ51" s="13"/>
      <c r="AK51" s="13"/>
      <c r="AL51" s="13"/>
      <c r="AM51" s="29"/>
      <c r="AN51" s="29"/>
      <c r="AO51" s="29"/>
      <c r="AP51" s="29"/>
      <c r="BY51" s="25"/>
      <c r="BZ51" s="34">
        <f t="shared" si="24"/>
        <v>101.52922145091136</v>
      </c>
      <c r="CA51" s="49">
        <f t="shared" si="14"/>
        <v>76</v>
      </c>
      <c r="CB51" s="34">
        <f t="shared" si="0"/>
        <v>120.07166052614483</v>
      </c>
      <c r="CC51" s="50">
        <f t="shared" si="10"/>
        <v>1.3264502315156903</v>
      </c>
      <c r="CD51" s="34">
        <f t="shared" si="21"/>
        <v>120.07166052614483</v>
      </c>
      <c r="CE51" s="34">
        <f t="shared" si="22"/>
        <v>120.07166052614483</v>
      </c>
      <c r="CF51" s="36" t="e">
        <f t="shared" si="23"/>
        <v>#DIV/0!</v>
      </c>
      <c r="CG51" s="51">
        <f t="shared" si="11"/>
        <v>9.481645390019061</v>
      </c>
      <c r="CH51" s="51">
        <f t="shared" si="12"/>
        <v>9.481645390019063</v>
      </c>
      <c r="CI51" s="51">
        <f t="shared" si="13"/>
        <v>9.481645390019061</v>
      </c>
      <c r="CJ51" s="130">
        <f t="shared" si="4"/>
        <v>9.481645390019061</v>
      </c>
      <c r="CK51" s="48">
        <f t="shared" si="5"/>
        <v>101.52922145091136</v>
      </c>
      <c r="CL51" s="15">
        <f t="shared" si="15"/>
        <v>1.373817626157264</v>
      </c>
      <c r="CM51" s="15">
        <v>0</v>
      </c>
      <c r="CN51" s="14" t="e">
        <f t="shared" si="16"/>
        <v>#DIV/0!</v>
      </c>
      <c r="CO51" s="14">
        <f t="shared" si="17"/>
        <v>1.373817626157264</v>
      </c>
    </row>
    <row r="52" spans="1:93" s="14" customFormat="1" ht="18" customHeight="1">
      <c r="A52" s="248"/>
      <c r="B52" s="2" t="s">
        <v>163</v>
      </c>
      <c r="C52" s="8" t="s">
        <v>252</v>
      </c>
      <c r="D52" s="318">
        <f>(D49/100+0.15)*D53</f>
        <v>0.32999999999999996</v>
      </c>
      <c r="E52" s="30" t="s">
        <v>250</v>
      </c>
      <c r="H52" s="26"/>
      <c r="I52" s="26"/>
      <c r="J52" s="26"/>
      <c r="K52" s="26"/>
      <c r="L52" s="26"/>
      <c r="M52" s="26"/>
      <c r="N52" s="26"/>
      <c r="O52" s="26"/>
      <c r="P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M52" s="29"/>
      <c r="AN52" s="29"/>
      <c r="AO52" s="29"/>
      <c r="AP52" s="29"/>
      <c r="BY52" s="25"/>
      <c r="BZ52" s="34">
        <f t="shared" si="24"/>
        <v>91.46452794832453</v>
      </c>
      <c r="CA52" s="49">
        <f t="shared" si="14"/>
        <v>77</v>
      </c>
      <c r="CB52" s="34">
        <f t="shared" si="0"/>
        <v>105.22849512024267</v>
      </c>
      <c r="CC52" s="50">
        <f t="shared" si="10"/>
        <v>1.3439035240356338</v>
      </c>
      <c r="CD52" s="34">
        <f t="shared" si="21"/>
        <v>105.22849512024267</v>
      </c>
      <c r="CE52" s="34">
        <f t="shared" si="22"/>
        <v>105.22849512024267</v>
      </c>
      <c r="CF52" s="36" t="e">
        <f t="shared" si="23"/>
        <v>#DIV/0!</v>
      </c>
      <c r="CG52" s="51">
        <f t="shared" si="11"/>
        <v>9.441997791699201</v>
      </c>
      <c r="CH52" s="51">
        <f t="shared" si="12"/>
        <v>9.441997791699203</v>
      </c>
      <c r="CI52" s="51">
        <f t="shared" si="13"/>
        <v>9.441997791699201</v>
      </c>
      <c r="CJ52" s="130">
        <f t="shared" si="4"/>
        <v>9.441997791699201</v>
      </c>
      <c r="CK52" s="48">
        <f t="shared" si="5"/>
        <v>91.46452794832453</v>
      </c>
      <c r="CL52" s="15">
        <f t="shared" si="15"/>
        <v>1.2039873583551803</v>
      </c>
      <c r="CM52" s="15">
        <v>0</v>
      </c>
      <c r="CN52" s="14" t="e">
        <f t="shared" si="16"/>
        <v>#DIV/0!</v>
      </c>
      <c r="CO52" s="14">
        <f t="shared" si="17"/>
        <v>1.2039873583551803</v>
      </c>
    </row>
    <row r="53" spans="1:93" s="14" customFormat="1" ht="18" customHeight="1">
      <c r="A53" s="248"/>
      <c r="B53" s="2" t="s">
        <v>253</v>
      </c>
      <c r="C53" s="8" t="s">
        <v>254</v>
      </c>
      <c r="D53" s="318">
        <f>IF(P&gt;0,1.5,IF(Kh&gt;0,1.5,1))</f>
        <v>1</v>
      </c>
      <c r="E53" s="24"/>
      <c r="H53" s="26"/>
      <c r="I53" s="26"/>
      <c r="J53" s="26"/>
      <c r="K53" s="26"/>
      <c r="L53" s="26"/>
      <c r="M53" s="26"/>
      <c r="N53" s="26"/>
      <c r="O53" s="26"/>
      <c r="P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M53" s="29"/>
      <c r="AN53" s="29"/>
      <c r="AO53" s="29"/>
      <c r="AP53" s="29"/>
      <c r="BZ53" s="34">
        <f t="shared" si="24"/>
        <v>80.85329414982307</v>
      </c>
      <c r="CA53" s="49">
        <f t="shared" si="14"/>
        <v>78</v>
      </c>
      <c r="CB53" s="34">
        <f t="shared" si="0"/>
        <v>90.50448010763142</v>
      </c>
      <c r="CC53" s="50">
        <f t="shared" si="10"/>
        <v>1.361356816555577</v>
      </c>
      <c r="CD53" s="34">
        <f t="shared" si="21"/>
        <v>90.50448010763142</v>
      </c>
      <c r="CE53" s="34">
        <f t="shared" si="22"/>
        <v>90.50448010763142</v>
      </c>
      <c r="CF53" s="36" t="e">
        <f t="shared" si="23"/>
        <v>#DIV/0!</v>
      </c>
      <c r="CG53" s="51">
        <f t="shared" si="11"/>
        <v>9.40553347275827</v>
      </c>
      <c r="CH53" s="51">
        <f t="shared" si="12"/>
        <v>9.405533472758268</v>
      </c>
      <c r="CI53" s="51">
        <f t="shared" si="13"/>
        <v>9.40553347275827</v>
      </c>
      <c r="CJ53" s="130">
        <f t="shared" si="4"/>
        <v>9.40553347275827</v>
      </c>
      <c r="CK53" s="48">
        <f t="shared" si="5"/>
        <v>80.85329414982307</v>
      </c>
      <c r="CL53" s="15">
        <f t="shared" si="15"/>
        <v>1.0355203673642053</v>
      </c>
      <c r="CM53" s="15">
        <v>0</v>
      </c>
      <c r="CN53" s="14" t="e">
        <f t="shared" si="16"/>
        <v>#DIV/0!</v>
      </c>
      <c r="CO53" s="14">
        <f t="shared" si="17"/>
        <v>1.0355203673642053</v>
      </c>
    </row>
    <row r="54" spans="1:93" s="14" customFormat="1" ht="18" customHeight="1">
      <c r="A54" s="246"/>
      <c r="B54" s="24"/>
      <c r="C54" s="24"/>
      <c r="D54" s="24"/>
      <c r="E54" s="47"/>
      <c r="F54" s="16"/>
      <c r="AM54" s="29"/>
      <c r="AN54" s="29"/>
      <c r="AO54" s="29"/>
      <c r="AP54" s="29"/>
      <c r="BS54" s="15"/>
      <c r="BT54" s="15"/>
      <c r="BU54" s="15"/>
      <c r="BY54" s="63" t="s">
        <v>35</v>
      </c>
      <c r="BZ54" s="34">
        <f t="shared" si="24"/>
        <v>69.67359419046197</v>
      </c>
      <c r="CA54" s="49">
        <f t="shared" si="14"/>
        <v>79</v>
      </c>
      <c r="CB54" s="34">
        <f t="shared" si="0"/>
        <v>75.88931897145672</v>
      </c>
      <c r="CC54" s="50">
        <f t="shared" si="10"/>
        <v>1.3788101090755203</v>
      </c>
      <c r="CD54" s="34">
        <f t="shared" si="21"/>
        <v>75.88931897145672</v>
      </c>
      <c r="CE54" s="34">
        <f t="shared" si="22"/>
        <v>75.88931897145672</v>
      </c>
      <c r="CF54" s="36" t="e">
        <f t="shared" si="23"/>
        <v>#DIV/0!</v>
      </c>
      <c r="CG54" s="51">
        <f t="shared" si="11"/>
        <v>9.37219359358797</v>
      </c>
      <c r="CH54" s="51">
        <f t="shared" si="12"/>
        <v>9.37219359358797</v>
      </c>
      <c r="CI54" s="51">
        <f t="shared" si="13"/>
        <v>9.37219359358797</v>
      </c>
      <c r="CJ54" s="130">
        <f t="shared" si="4"/>
        <v>9.37219359358797</v>
      </c>
      <c r="CK54" s="48">
        <f t="shared" si="5"/>
        <v>69.67359419046197</v>
      </c>
      <c r="CL54" s="15">
        <f t="shared" si="15"/>
        <v>0.8682988440670114</v>
      </c>
      <c r="CM54" s="15">
        <v>0</v>
      </c>
      <c r="CN54" s="14" t="e">
        <f t="shared" si="16"/>
        <v>#DIV/0!</v>
      </c>
      <c r="CO54" s="14">
        <f t="shared" si="17"/>
        <v>0.8682988440670114</v>
      </c>
    </row>
    <row r="55" spans="1:93" s="14" customFormat="1" ht="18" customHeight="1">
      <c r="A55" s="250" t="s">
        <v>439</v>
      </c>
      <c r="B55" s="24"/>
      <c r="C55" s="24"/>
      <c r="D55" s="24"/>
      <c r="E55" s="17"/>
      <c r="AG55" s="60"/>
      <c r="AM55" s="29"/>
      <c r="AN55" s="29"/>
      <c r="AO55" s="29"/>
      <c r="AP55" s="29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Y55" s="44"/>
      <c r="BZ55" s="64">
        <f>MAX(BZ5:BZ54)</f>
        <v>207.88854641658554</v>
      </c>
      <c r="CA55" s="159" t="s">
        <v>80</v>
      </c>
      <c r="CB55" s="65">
        <f>VLOOKUP(Pmax,$BZ$4:$CO$54,2,FALSE)</f>
        <v>54</v>
      </c>
      <c r="CC55" s="51" t="s">
        <v>36</v>
      </c>
      <c r="CD55" s="153" t="s">
        <v>37</v>
      </c>
      <c r="CJ55" s="65">
        <f>VLOOKUP(Pmax,$BZ$4:$CO$54,11,FALSE)</f>
        <v>11.371825392998064</v>
      </c>
      <c r="CO55" s="65">
        <f>VLOOKUP(Pmax,$BZ$4:$CO$54,16,FALSE)</f>
        <v>5.764191257649321</v>
      </c>
    </row>
    <row r="56" spans="1:83" s="14" customFormat="1" ht="18" customHeight="1">
      <c r="A56" s="246"/>
      <c r="B56" s="14" t="str">
        <f>data!B22</f>
        <v>無筋コンクリート</v>
      </c>
      <c r="AM56" s="29"/>
      <c r="AN56" s="29"/>
      <c r="AO56" s="29"/>
      <c r="AP56" s="29"/>
      <c r="BI56" s="15"/>
      <c r="BJ56" s="15"/>
      <c r="BK56" s="15"/>
      <c r="BL56" s="62"/>
      <c r="BO56" s="15"/>
      <c r="BP56" s="15"/>
      <c r="BQ56" s="15"/>
      <c r="BR56" s="15"/>
      <c r="BS56" s="15"/>
      <c r="BT56" s="15"/>
      <c r="BU56" s="15"/>
      <c r="BX56" s="25"/>
      <c r="BY56" s="154"/>
      <c r="BZ56" s="25"/>
      <c r="CA56" s="159" t="s">
        <v>81</v>
      </c>
      <c r="CB56" s="65">
        <f>CB55*PI()/180</f>
        <v>0.9424777960769379</v>
      </c>
      <c r="CC56" s="51" t="s">
        <v>10</v>
      </c>
      <c r="CE56" s="25"/>
    </row>
    <row r="57" spans="1:82" s="14" customFormat="1" ht="18" customHeight="1">
      <c r="A57" s="246"/>
      <c r="B57" s="111">
        <f>IF(S45=1,"","材質")</f>
      </c>
      <c r="C57" s="110">
        <f>IF(S45=1,"",data!E22)</f>
      </c>
      <c r="AM57" s="29"/>
      <c r="AN57" s="29"/>
      <c r="AO57" s="29"/>
      <c r="AP57" s="29"/>
      <c r="BX57" s="25"/>
      <c r="BY57" s="154"/>
      <c r="BZ57" s="25"/>
      <c r="CA57" s="25"/>
      <c r="CB57" s="25"/>
      <c r="CC57" s="25"/>
      <c r="CD57" s="25"/>
    </row>
    <row r="58" spans="1:82" s="14" customFormat="1" ht="18" customHeight="1">
      <c r="A58" s="250"/>
      <c r="B58" s="8">
        <f>IF(S45=1,"","直径")</f>
      </c>
      <c r="C58" s="56"/>
      <c r="D58" s="21">
        <f>IF($S$45=1,"",data!H12)</f>
      </c>
      <c r="E58" s="24">
        <f>IF($S$45=1,"","mm")</f>
      </c>
      <c r="AM58" s="29"/>
      <c r="AN58" s="29"/>
      <c r="AO58" s="29"/>
      <c r="AP58" s="29"/>
      <c r="BX58" s="25"/>
      <c r="CA58" s="25"/>
      <c r="CB58" s="25"/>
      <c r="CC58" s="25"/>
      <c r="CD58" s="25"/>
    </row>
    <row r="59" spans="1:42" s="14" customFormat="1" ht="18" customHeight="1">
      <c r="A59" s="250"/>
      <c r="B59" s="8">
        <f>IF(S45=1,"","ピッチ")</f>
      </c>
      <c r="C59" s="56">
        <f>IF(S45=1,"","pich=")</f>
      </c>
      <c r="D59" s="21">
        <f>IF($S$45=1,"",'入力'!E25)</f>
      </c>
      <c r="E59" s="24">
        <f>IF($S$45=1,"","mm")</f>
      </c>
      <c r="AG59" s="15"/>
      <c r="AI59" s="15"/>
      <c r="AK59" s="25"/>
      <c r="AM59" s="29"/>
      <c r="AN59" s="29"/>
      <c r="AO59" s="29"/>
      <c r="AP59" s="29"/>
    </row>
    <row r="60" spans="1:42" s="14" customFormat="1" ht="18" customHeight="1">
      <c r="A60" s="251"/>
      <c r="B60" s="8">
        <f>IF(S45=1,"","かぶり")</f>
      </c>
      <c r="C60" s="56">
        <f>IF(S45=1,"","i=")</f>
      </c>
      <c r="D60" s="21">
        <f>IF($S$45=1,"",'入力'!E26)</f>
      </c>
      <c r="E60" s="24">
        <f>IF($S$45=1,"","mm")</f>
      </c>
      <c r="AG60" s="15"/>
      <c r="AI60" s="15"/>
      <c r="AK60" s="25"/>
      <c r="AM60" s="29"/>
      <c r="AN60" s="29"/>
      <c r="AO60" s="29"/>
      <c r="AP60" s="29"/>
    </row>
    <row r="61" spans="1:88" s="14" customFormat="1" ht="18" customHeight="1">
      <c r="A61" s="252"/>
      <c r="B61" s="2">
        <f>IF($S$45=1,"","許容引張応力度")</f>
      </c>
      <c r="C61" s="2">
        <f>IF($S$45=1,"","σsa=")</f>
      </c>
      <c r="D61" s="21">
        <f>IF($S$45=1,"",IF(P&gt;0,270,IF(Kh&gt;0,270,160)))</f>
      </c>
      <c r="E61" s="30">
        <f>IF(S45=1,"","N/mm2")</f>
      </c>
      <c r="AG61" s="15"/>
      <c r="AI61" s="15"/>
      <c r="AK61" s="25"/>
      <c r="AM61" s="29"/>
      <c r="AN61" s="29"/>
      <c r="AO61" s="29"/>
      <c r="AP61" s="29"/>
      <c r="CJ61" s="65"/>
    </row>
    <row r="62" spans="1:42" s="14" customFormat="1" ht="18" customHeight="1">
      <c r="A62" s="250"/>
      <c r="B62" s="2">
        <f>IF($S$45=1,"","許容付着応力度")</f>
      </c>
      <c r="C62" s="2">
        <f>IF($S$45=1,"","τoa=")</f>
      </c>
      <c r="D62" s="144">
        <f>IF(S45=1,"",0.17*σck^0.69)</f>
      </c>
      <c r="E62" s="30">
        <f>IF(S45=1,"","N/mm2")</f>
      </c>
      <c r="AG62" s="15"/>
      <c r="AI62" s="15"/>
      <c r="AK62" s="25"/>
      <c r="AM62" s="29"/>
      <c r="AN62" s="29"/>
      <c r="AO62" s="29"/>
      <c r="AP62" s="29"/>
    </row>
    <row r="63" spans="1:35" s="14" customFormat="1" ht="18" customHeight="1">
      <c r="A63" s="250"/>
      <c r="B63" s="2"/>
      <c r="C63" s="2"/>
      <c r="D63" s="12"/>
      <c r="E63" s="30"/>
      <c r="AG63" s="15"/>
      <c r="AI63" s="15"/>
    </row>
    <row r="64" spans="1:78" s="14" customFormat="1" ht="18" customHeight="1">
      <c r="A64" s="182" t="s">
        <v>458</v>
      </c>
      <c r="B64" s="24"/>
      <c r="C64" s="16"/>
      <c r="D64" s="24"/>
      <c r="E64" s="47"/>
      <c r="F64" s="24"/>
      <c r="AG64" s="15"/>
      <c r="AI64" s="15"/>
      <c r="BY64" s="15"/>
      <c r="BZ64" s="15"/>
    </row>
    <row r="65" spans="1:87" s="14" customFormat="1" ht="18" customHeight="1">
      <c r="A65" s="314" t="s">
        <v>459</v>
      </c>
      <c r="B65" s="53"/>
      <c r="Q65" s="13"/>
      <c r="R65" s="13"/>
      <c r="S65" s="13"/>
      <c r="AG65" s="15"/>
      <c r="AH65" s="15"/>
      <c r="AI65" s="15"/>
      <c r="BY65" s="24"/>
      <c r="BZ65" s="15"/>
      <c r="CE65" s="25"/>
      <c r="CF65" s="25"/>
      <c r="CG65" s="25"/>
      <c r="CH65" s="25"/>
      <c r="CI65" s="25"/>
    </row>
    <row r="66" spans="1:87" s="14" customFormat="1" ht="18" customHeight="1">
      <c r="A66" s="246"/>
      <c r="B66" s="24"/>
      <c r="C66" s="105" t="s">
        <v>30</v>
      </c>
      <c r="D66" s="24"/>
      <c r="E66" s="104" t="str">
        <f>"="</f>
        <v>=</v>
      </c>
      <c r="F66" s="319">
        <f>ROUND(1/2*(bu+B)*Ha*γc,1)</f>
        <v>376.6</v>
      </c>
      <c r="G66" s="55" t="s">
        <v>164</v>
      </c>
      <c r="AG66" s="15"/>
      <c r="AH66" s="15"/>
      <c r="AI66" s="15"/>
      <c r="BY66" s="24"/>
      <c r="BZ66" s="25"/>
      <c r="CA66" s="25"/>
      <c r="CB66" s="25"/>
      <c r="CC66" s="25"/>
      <c r="CD66" s="25"/>
      <c r="CE66" s="25"/>
      <c r="CF66" s="25"/>
      <c r="CG66" s="25"/>
      <c r="CH66" s="25"/>
      <c r="CI66" s="25"/>
    </row>
    <row r="67" spans="1:87" s="14" customFormat="1" ht="18" customHeight="1">
      <c r="A67" s="246"/>
      <c r="B67" s="24"/>
      <c r="D67" s="54"/>
      <c r="E67" s="13"/>
      <c r="F67" s="174"/>
      <c r="G67" s="13"/>
      <c r="H67" s="13"/>
      <c r="AG67" s="15"/>
      <c r="AH67" s="15"/>
      <c r="AI67" s="15"/>
      <c r="BY67" s="25"/>
      <c r="BZ67" s="25"/>
      <c r="CA67" s="25"/>
      <c r="CB67" s="25"/>
      <c r="CC67" s="24"/>
      <c r="CD67" s="25"/>
      <c r="CE67" s="25"/>
      <c r="CF67" s="24"/>
      <c r="CG67" s="25"/>
      <c r="CH67" s="24"/>
      <c r="CI67" s="24"/>
    </row>
    <row r="68" spans="1:86" s="14" customFormat="1" ht="18" customHeight="1">
      <c r="A68" s="246"/>
      <c r="C68" s="8" t="s">
        <v>6</v>
      </c>
      <c r="E68" s="104" t="str">
        <f>"="</f>
        <v>=</v>
      </c>
      <c r="F68" s="319">
        <f>ROUND(F66*Kh,1)</f>
        <v>0</v>
      </c>
      <c r="G68" s="55" t="s">
        <v>164</v>
      </c>
      <c r="I68" s="13"/>
      <c r="J68" s="13"/>
      <c r="K68" s="13"/>
      <c r="L68" s="13"/>
      <c r="M68" s="13"/>
      <c r="N68" s="13"/>
      <c r="O68" s="13"/>
      <c r="P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G68" s="15"/>
      <c r="AH68" s="15"/>
      <c r="AI68" s="15"/>
      <c r="BY68" s="24"/>
      <c r="BZ68" s="129"/>
      <c r="CA68" s="25"/>
      <c r="CB68" s="25"/>
      <c r="CC68" s="25"/>
      <c r="CD68" s="20"/>
      <c r="CE68" s="20"/>
      <c r="CF68" s="21"/>
      <c r="CG68" s="21"/>
      <c r="CH68" s="21"/>
    </row>
    <row r="69" spans="1:85" s="14" customFormat="1" ht="18" customHeight="1">
      <c r="A69" s="246"/>
      <c r="AG69" s="15"/>
      <c r="AH69" s="15"/>
      <c r="AI69" s="15"/>
      <c r="BY69" s="24"/>
      <c r="BZ69" s="44"/>
      <c r="CA69" s="44"/>
      <c r="CB69" s="44"/>
      <c r="CC69" s="23"/>
      <c r="CD69" s="25"/>
      <c r="CE69" s="25"/>
      <c r="CF69" s="25"/>
      <c r="CG69" s="25"/>
    </row>
    <row r="70" spans="1:85" s="14" customFormat="1" ht="18" customHeight="1">
      <c r="A70" s="246"/>
      <c r="C70" s="8" t="s">
        <v>31</v>
      </c>
      <c r="F70" s="104" t="str">
        <f>"="</f>
        <v>=</v>
      </c>
      <c r="G70" s="320">
        <f>ROUND(B/2+Ha/6*(2*bu+B)*(n-nb)/(bu+B),2)</f>
        <v>2.43</v>
      </c>
      <c r="H70" s="29" t="s">
        <v>165</v>
      </c>
      <c r="AG70" s="15"/>
      <c r="AH70" s="15"/>
      <c r="AI70" s="15"/>
      <c r="BY70" s="24"/>
      <c r="BZ70" s="44"/>
      <c r="CA70" s="44"/>
      <c r="CB70" s="44"/>
      <c r="CC70" s="23"/>
      <c r="CD70" s="25"/>
      <c r="CE70" s="25"/>
      <c r="CF70" s="25"/>
      <c r="CG70" s="25"/>
    </row>
    <row r="71" spans="1:85" s="14" customFormat="1" ht="18" customHeight="1">
      <c r="A71" s="246"/>
      <c r="G71" s="110"/>
      <c r="AG71" s="15"/>
      <c r="AH71" s="15"/>
      <c r="AI71" s="15"/>
      <c r="BY71" s="24"/>
      <c r="BZ71" s="44"/>
      <c r="CA71" s="44"/>
      <c r="CB71" s="44"/>
      <c r="CC71" s="23"/>
      <c r="CD71" s="25"/>
      <c r="CE71" s="25"/>
      <c r="CF71" s="25"/>
      <c r="CG71" s="25"/>
    </row>
    <row r="72" spans="1:85" s="14" customFormat="1" ht="18" customHeight="1">
      <c r="A72" s="246"/>
      <c r="F72" s="104" t="str">
        <f>"="</f>
        <v>=</v>
      </c>
      <c r="G72" s="320">
        <f>ROUND(Ha/3*(2*bu+B)/(bu+B),2)</f>
        <v>3.41</v>
      </c>
      <c r="H72" s="29" t="s">
        <v>165</v>
      </c>
      <c r="AG72" s="15"/>
      <c r="AH72" s="15"/>
      <c r="AI72" s="15"/>
      <c r="BY72" s="24"/>
      <c r="BZ72" s="44"/>
      <c r="CA72" s="44"/>
      <c r="CB72" s="44"/>
      <c r="CC72" s="23"/>
      <c r="CD72" s="25"/>
      <c r="CE72" s="25"/>
      <c r="CF72" s="25"/>
      <c r="CG72" s="25"/>
    </row>
    <row r="73" spans="1:85" s="14" customFormat="1" ht="18" customHeight="1">
      <c r="A73" s="246"/>
      <c r="F73" s="104"/>
      <c r="G73" s="39"/>
      <c r="H73" s="29"/>
      <c r="AG73" s="15"/>
      <c r="AH73" s="15"/>
      <c r="AI73" s="15"/>
      <c r="BY73" s="24"/>
      <c r="BZ73" s="44"/>
      <c r="CA73" s="44"/>
      <c r="CB73" s="44"/>
      <c r="CC73" s="23"/>
      <c r="CD73" s="25"/>
      <c r="CE73" s="25"/>
      <c r="CF73" s="25"/>
      <c r="CG73" s="25"/>
    </row>
    <row r="74" spans="1:85" s="14" customFormat="1" ht="18" customHeight="1">
      <c r="A74" s="314" t="s">
        <v>460</v>
      </c>
      <c r="AG74" s="15"/>
      <c r="AH74" s="15"/>
      <c r="AI74" s="15"/>
      <c r="BY74" s="24"/>
      <c r="BZ74" s="44"/>
      <c r="CA74" s="44"/>
      <c r="CB74" s="44"/>
      <c r="CC74" s="23"/>
      <c r="CD74" s="25"/>
      <c r="CE74" s="25"/>
      <c r="CF74" s="25"/>
      <c r="CG74" s="25"/>
    </row>
    <row r="75" spans="1:85" s="14" customFormat="1" ht="18" customHeight="1">
      <c r="A75" s="246"/>
      <c r="B75" s="108" t="s">
        <v>166</v>
      </c>
      <c r="AG75" s="15"/>
      <c r="AH75" s="15"/>
      <c r="AI75" s="15"/>
      <c r="BY75" s="24"/>
      <c r="BZ75" s="44"/>
      <c r="CA75" s="44"/>
      <c r="CB75" s="44"/>
      <c r="CC75" s="23"/>
      <c r="CD75" s="25"/>
      <c r="CE75" s="25"/>
      <c r="CF75" s="25"/>
      <c r="CG75" s="25"/>
    </row>
    <row r="76" spans="1:85" s="14" customFormat="1" ht="18" customHeight="1">
      <c r="A76" s="246"/>
      <c r="AG76" s="15"/>
      <c r="BY76" s="24"/>
      <c r="BZ76" s="44"/>
      <c r="CA76" s="44"/>
      <c r="CB76" s="44"/>
      <c r="CC76" s="23"/>
      <c r="CD76" s="25"/>
      <c r="CE76" s="25"/>
      <c r="CF76" s="25"/>
      <c r="CG76" s="25"/>
    </row>
    <row r="77" spans="1:85" s="14" customFormat="1" ht="18" customHeight="1">
      <c r="A77" s="246"/>
      <c r="AG77" s="15"/>
      <c r="BY77" s="24"/>
      <c r="BZ77" s="44"/>
      <c r="CA77" s="44"/>
      <c r="CB77" s="44"/>
      <c r="CC77" s="23"/>
      <c r="CD77" s="25"/>
      <c r="CE77" s="25"/>
      <c r="CF77" s="25"/>
      <c r="CG77" s="25"/>
    </row>
    <row r="78" spans="1:85" s="14" customFormat="1" ht="18" customHeight="1">
      <c r="A78" s="246"/>
      <c r="AG78" s="15"/>
      <c r="BY78" s="15"/>
      <c r="BZ78" s="24"/>
      <c r="CA78" s="44"/>
      <c r="CB78" s="44"/>
      <c r="CC78" s="23"/>
      <c r="CD78" s="25"/>
      <c r="CE78" s="25"/>
      <c r="CF78" s="25"/>
      <c r="CG78" s="25"/>
    </row>
    <row r="79" spans="1:87" s="14" customFormat="1" ht="18" customHeight="1">
      <c r="A79" s="246"/>
      <c r="AG79" s="15"/>
      <c r="AQ79" s="15"/>
      <c r="AR79" s="15"/>
      <c r="BY79" s="15"/>
      <c r="BZ79" s="15"/>
      <c r="CA79" s="15"/>
      <c r="CB79" s="25"/>
      <c r="CC79" s="25"/>
      <c r="CD79" s="25"/>
      <c r="CE79" s="25"/>
      <c r="CF79" s="25"/>
      <c r="CG79" s="25"/>
      <c r="CH79" s="25"/>
      <c r="CI79" s="25"/>
    </row>
    <row r="80" spans="1:87" s="14" customFormat="1" ht="18" customHeight="1">
      <c r="A80" s="246"/>
      <c r="AG80" s="15"/>
      <c r="AQ80" s="15"/>
      <c r="AR80" s="15"/>
      <c r="BY80" s="15"/>
      <c r="BZ80" s="15"/>
      <c r="CA80" s="15"/>
      <c r="CB80" s="160" t="s">
        <v>45</v>
      </c>
      <c r="CC80" s="161">
        <f>Ho</f>
        <v>0</v>
      </c>
      <c r="CD80" s="162" t="s">
        <v>0</v>
      </c>
      <c r="CF80" s="25"/>
      <c r="CG80" s="25"/>
      <c r="CH80" s="25"/>
      <c r="CI80" s="25"/>
    </row>
    <row r="81" spans="1:87" s="14" customFormat="1" ht="18" customHeight="1">
      <c r="A81" s="246"/>
      <c r="AG81" s="15"/>
      <c r="AQ81" s="15"/>
      <c r="AR81" s="15"/>
      <c r="BY81" s="15"/>
      <c r="BZ81" s="15"/>
      <c r="CA81" s="15"/>
      <c r="CB81" s="163" t="s">
        <v>88</v>
      </c>
      <c r="CC81" s="164">
        <f>ATAN(CC89/Ha)</f>
        <v>-0.09966865249116198</v>
      </c>
      <c r="CD81" s="162" t="s">
        <v>10</v>
      </c>
      <c r="CF81" s="25"/>
      <c r="CG81" s="25"/>
      <c r="CH81" s="25"/>
      <c r="CI81" s="25"/>
    </row>
    <row r="82" spans="1:87" s="14" customFormat="1" ht="18" customHeight="1">
      <c r="A82" s="246"/>
      <c r="AG82" s="15"/>
      <c r="AQ82" s="15"/>
      <c r="AR82" s="15"/>
      <c r="BY82" s="15"/>
      <c r="BZ82" s="15"/>
      <c r="CA82" s="15"/>
      <c r="CB82" s="163" t="s">
        <v>69</v>
      </c>
      <c r="CC82" s="164">
        <f>IF(m=0,0,IF(Hb=0,0,D15*PI()/180))</f>
        <v>0</v>
      </c>
      <c r="CD82" s="162" t="s">
        <v>10</v>
      </c>
      <c r="CF82" s="25"/>
      <c r="CG82" s="25"/>
      <c r="CH82" s="25"/>
      <c r="CI82" s="25"/>
    </row>
    <row r="83" spans="1:87" s="14" customFormat="1" ht="18" customHeight="1">
      <c r="A83" s="246"/>
      <c r="AG83" s="15"/>
      <c r="BY83" s="15"/>
      <c r="BZ83" s="15"/>
      <c r="CA83" s="15"/>
      <c r="CB83" s="163" t="s">
        <v>73</v>
      </c>
      <c r="CC83" s="164">
        <f>Fai*PI()/180</f>
        <v>0.5235987755982988</v>
      </c>
      <c r="CD83" s="165" t="s">
        <v>10</v>
      </c>
      <c r="CF83" s="166"/>
      <c r="CG83" s="166"/>
      <c r="CH83" s="166"/>
      <c r="CI83" s="166"/>
    </row>
    <row r="84" spans="1:87" s="14" customFormat="1" ht="18" customHeight="1">
      <c r="A84" s="246"/>
      <c r="AG84" s="15"/>
      <c r="BY84" s="15"/>
      <c r="BZ84" s="15"/>
      <c r="CA84" s="15"/>
      <c r="CB84" s="163" t="s">
        <v>89</v>
      </c>
      <c r="CC84" s="164">
        <f>IF(Kh=0,2/3*φ,φ/2)</f>
        <v>0.34906585039886584</v>
      </c>
      <c r="CD84" s="162" t="s">
        <v>10</v>
      </c>
      <c r="CF84" s="25"/>
      <c r="CG84" s="25"/>
      <c r="CH84" s="25"/>
      <c r="CI84" s="25"/>
    </row>
    <row r="85" spans="1:87" s="14" customFormat="1" ht="18" customHeight="1">
      <c r="A85" s="246"/>
      <c r="AG85" s="15"/>
      <c r="BY85" s="15"/>
      <c r="BZ85" s="15"/>
      <c r="CA85" s="15"/>
      <c r="CB85" s="167" t="s">
        <v>90</v>
      </c>
      <c r="CC85" s="164">
        <f>ATAN(Kh)</f>
        <v>0</v>
      </c>
      <c r="CD85" s="162" t="s">
        <v>10</v>
      </c>
      <c r="CF85" s="25"/>
      <c r="CG85" s="25"/>
      <c r="CH85" s="25"/>
      <c r="CI85" s="25"/>
    </row>
    <row r="86" spans="1:87" s="14" customFormat="1" ht="18" customHeight="1">
      <c r="A86" s="246"/>
      <c r="AG86" s="15"/>
      <c r="BY86" s="15"/>
      <c r="BZ86" s="15"/>
      <c r="CA86" s="15"/>
      <c r="CB86" s="160" t="s">
        <v>46</v>
      </c>
      <c r="CC86" s="162">
        <f>Ha+Hb</f>
        <v>9.2</v>
      </c>
      <c r="CD86" s="162" t="s">
        <v>0</v>
      </c>
      <c r="CF86" s="25"/>
      <c r="CG86" s="25"/>
      <c r="CH86" s="25"/>
      <c r="CI86" s="25"/>
    </row>
    <row r="87" spans="1:87" s="14" customFormat="1" ht="18" customHeight="1">
      <c r="A87" s="246"/>
      <c r="AG87" s="15"/>
      <c r="BY87" s="15"/>
      <c r="BZ87" s="15"/>
      <c r="CA87" s="15"/>
      <c r="CB87" s="162"/>
      <c r="CC87" s="162"/>
      <c r="CD87" s="162"/>
      <c r="CF87" s="25"/>
      <c r="CG87" s="25"/>
      <c r="CH87" s="25"/>
      <c r="CI87" s="25"/>
    </row>
    <row r="88" spans="1:87" s="14" customFormat="1" ht="18" customHeight="1">
      <c r="A88" s="246"/>
      <c r="AG88" s="15"/>
      <c r="BY88" s="15"/>
      <c r="BZ88" s="15"/>
      <c r="CA88" s="15"/>
      <c r="CB88" s="160" t="s">
        <v>47</v>
      </c>
      <c r="CC88" s="162">
        <f>Ha*n</f>
        <v>3.6799999999999997</v>
      </c>
      <c r="CD88" s="162" t="s">
        <v>0</v>
      </c>
      <c r="CF88" s="25"/>
      <c r="CG88" s="25"/>
      <c r="CH88" s="25"/>
      <c r="CI88" s="25"/>
    </row>
    <row r="89" spans="1:87" s="14" customFormat="1" ht="18" customHeight="1">
      <c r="A89" s="246"/>
      <c r="AG89" s="15"/>
      <c r="BY89" s="15"/>
      <c r="BZ89" s="15"/>
      <c r="CA89" s="15"/>
      <c r="CB89" s="160" t="s">
        <v>48</v>
      </c>
      <c r="CC89" s="162">
        <f>B-bu-CC88</f>
        <v>-0.9199999999999995</v>
      </c>
      <c r="CD89" s="162" t="s">
        <v>0</v>
      </c>
      <c r="CF89" s="25"/>
      <c r="CG89" s="25"/>
      <c r="CH89" s="25"/>
      <c r="CI89" s="25"/>
    </row>
    <row r="90" spans="1:87" s="14" customFormat="1" ht="18" customHeight="1">
      <c r="A90" s="246"/>
      <c r="AG90" s="15"/>
      <c r="BY90" s="15"/>
      <c r="BZ90" s="15"/>
      <c r="CA90" s="15"/>
      <c r="CB90" s="160" t="s">
        <v>49</v>
      </c>
      <c r="CC90" s="162">
        <f>CC89/Ha</f>
        <v>-0.09999999999999995</v>
      </c>
      <c r="CD90" s="162"/>
      <c r="CE90" s="25"/>
      <c r="CF90" s="25"/>
      <c r="CG90" s="25"/>
      <c r="CH90" s="25"/>
      <c r="CI90" s="25"/>
    </row>
    <row r="91" spans="1:87" s="14" customFormat="1" ht="18" customHeight="1">
      <c r="A91" s="246"/>
      <c r="AG91" s="15"/>
      <c r="BY91" s="15"/>
      <c r="BZ91" s="15"/>
      <c r="CA91" s="15"/>
      <c r="CB91" s="25"/>
      <c r="CC91" s="25"/>
      <c r="CD91" s="25"/>
      <c r="CE91" s="25"/>
      <c r="CF91" s="25"/>
      <c r="CG91" s="25"/>
      <c r="CH91" s="25"/>
      <c r="CI91" s="25"/>
    </row>
    <row r="92" spans="1:87" s="14" customFormat="1" ht="18" customHeight="1">
      <c r="A92" s="246"/>
      <c r="AG92" s="15"/>
      <c r="BZ92" s="15"/>
      <c r="CA92" s="168"/>
      <c r="CB92" s="62"/>
      <c r="CC92" s="25"/>
      <c r="CD92" s="25"/>
      <c r="CE92" s="25"/>
      <c r="CF92" s="25"/>
      <c r="CG92" s="25"/>
      <c r="CH92" s="25"/>
      <c r="CI92" s="25"/>
    </row>
    <row r="93" spans="1:87" s="14" customFormat="1" ht="18" customHeight="1">
      <c r="A93" s="246"/>
      <c r="AG93" s="15"/>
      <c r="CA93" s="15"/>
      <c r="CB93" s="15"/>
      <c r="CC93" s="15"/>
      <c r="CD93" s="15"/>
      <c r="CE93" s="15"/>
      <c r="CF93" s="15"/>
      <c r="CG93" s="15"/>
      <c r="CH93" s="15"/>
      <c r="CI93" s="15"/>
    </row>
    <row r="94" spans="1:33" s="14" customFormat="1" ht="18" customHeight="1">
      <c r="A94" s="246"/>
      <c r="AG94" s="15"/>
    </row>
    <row r="95" spans="1:33" s="14" customFormat="1" ht="18" customHeight="1">
      <c r="A95" s="246"/>
      <c r="AG95" s="15"/>
    </row>
    <row r="96" spans="1:33" s="14" customFormat="1" ht="18" customHeight="1">
      <c r="A96" s="246"/>
      <c r="AE96" s="25"/>
      <c r="AF96" s="25"/>
      <c r="AG96" s="15"/>
    </row>
    <row r="97" spans="2:93" ht="18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3"/>
      <c r="AF97" s="143"/>
      <c r="AG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</row>
    <row r="98" spans="2:62" ht="18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70"/>
      <c r="AF98" s="70"/>
      <c r="AG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2:62" ht="18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70"/>
      <c r="AF99" s="70"/>
      <c r="AG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2:62" ht="18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70"/>
      <c r="AF100" s="70"/>
      <c r="AG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2:62" ht="18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70"/>
      <c r="AF101" s="70"/>
      <c r="AG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2:62" ht="18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70"/>
      <c r="AF102" s="70"/>
      <c r="AG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93" s="14" customFormat="1" ht="18" customHeight="1">
      <c r="A103" s="246"/>
      <c r="AE103" s="25"/>
      <c r="AF103" s="25"/>
      <c r="AG103" s="15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60" s="14" customFormat="1" ht="18" customHeight="1">
      <c r="A104" s="246"/>
      <c r="AE104" s="25"/>
      <c r="AF104" s="25"/>
      <c r="AG104" s="15"/>
      <c r="AW104" s="21" t="s">
        <v>1</v>
      </c>
      <c r="AX104" s="169" t="s">
        <v>167</v>
      </c>
      <c r="AY104" s="169" t="s">
        <v>2</v>
      </c>
      <c r="AZ104" s="170" t="s">
        <v>3</v>
      </c>
      <c r="BA104" s="169" t="s">
        <v>4</v>
      </c>
      <c r="BB104" s="108" t="s">
        <v>5</v>
      </c>
      <c r="BC104" s="108" t="s">
        <v>6</v>
      </c>
      <c r="BD104" s="108" t="s">
        <v>7</v>
      </c>
      <c r="BE104" s="108" t="s">
        <v>168</v>
      </c>
      <c r="BF104" s="108" t="s">
        <v>169</v>
      </c>
      <c r="BG104" s="108" t="s">
        <v>8</v>
      </c>
      <c r="BH104" s="108" t="s">
        <v>9</v>
      </c>
    </row>
    <row r="105" spans="1:53" s="14" customFormat="1" ht="18" customHeight="1">
      <c r="A105" s="246"/>
      <c r="AE105" s="25"/>
      <c r="AF105" s="25"/>
      <c r="AG105" s="15"/>
      <c r="AV105" s="14">
        <v>1</v>
      </c>
      <c r="AW105" s="25">
        <v>0</v>
      </c>
      <c r="AX105" s="25">
        <v>0</v>
      </c>
      <c r="AY105" s="25"/>
      <c r="AZ105" s="25"/>
      <c r="BA105" s="25"/>
    </row>
    <row r="106" spans="1:53" s="14" customFormat="1" ht="18" customHeight="1">
      <c r="A106" s="246"/>
      <c r="AG106" s="15"/>
      <c r="AV106" s="14">
        <f>AV105+1</f>
        <v>2</v>
      </c>
      <c r="AW106" s="25">
        <f>Ha*n</f>
        <v>3.6799999999999997</v>
      </c>
      <c r="AX106" s="25">
        <f>Ha</f>
        <v>9.2</v>
      </c>
      <c r="AY106" s="25"/>
      <c r="AZ106" s="25"/>
      <c r="BA106" s="25"/>
    </row>
    <row r="107" spans="1:53" s="14" customFormat="1" ht="18" customHeight="1">
      <c r="A107" s="246"/>
      <c r="AG107" s="15"/>
      <c r="AV107" s="14">
        <f aca="true" t="shared" si="25" ref="AV107:AV113">AV106+1</f>
        <v>3</v>
      </c>
      <c r="AW107" s="25">
        <f>AW106+bu</f>
        <v>4.08</v>
      </c>
      <c r="AX107" s="25">
        <f>AX106</f>
        <v>9.2</v>
      </c>
      <c r="AY107" s="25"/>
      <c r="AZ107" s="25"/>
      <c r="BA107" s="25"/>
    </row>
    <row r="108" spans="1:53" s="14" customFormat="1" ht="18" customHeight="1">
      <c r="A108" s="246"/>
      <c r="AG108" s="15"/>
      <c r="AV108" s="14">
        <f t="shared" si="25"/>
        <v>4</v>
      </c>
      <c r="AW108" s="25">
        <f>IF(β=0,AW107,AW107+Ho/TAN(β))</f>
        <v>4.08</v>
      </c>
      <c r="AX108" s="25">
        <f>Ho+Ha</f>
        <v>9.2</v>
      </c>
      <c r="AY108" s="25"/>
      <c r="AZ108" s="25"/>
      <c r="BA108" s="25"/>
    </row>
    <row r="109" spans="1:60" s="14" customFormat="1" ht="18" customHeight="1">
      <c r="A109" s="246"/>
      <c r="AG109" s="15"/>
      <c r="AV109" s="14">
        <f t="shared" si="25"/>
        <v>5</v>
      </c>
      <c r="AW109" s="25">
        <f>MAX(MIN(AW108+Ha,AW108+3),B+Lc/TAN(ωr))</f>
        <v>11.422114769064372</v>
      </c>
      <c r="AX109" s="25">
        <f>IF(Ho=0,AX108,IF(Ho&gt;0,AX108,IF(β=0,AX108,(AW109-AW108)*TAN(β)+AX108)))</f>
        <v>9.2</v>
      </c>
      <c r="AY109" s="25"/>
      <c r="AZ109" s="25"/>
      <c r="BA109" s="25"/>
      <c r="BC109" s="25"/>
      <c r="BD109" s="25"/>
      <c r="BE109" s="25"/>
      <c r="BF109" s="25"/>
      <c r="BG109" s="25"/>
      <c r="BH109" s="25"/>
    </row>
    <row r="110" spans="1:60" s="14" customFormat="1" ht="18" customHeight="1">
      <c r="A110" s="246"/>
      <c r="AG110" s="15"/>
      <c r="AV110" s="14">
        <f t="shared" si="25"/>
        <v>6</v>
      </c>
      <c r="AW110" s="25">
        <f>AW108</f>
        <v>4.08</v>
      </c>
      <c r="AX110" s="25">
        <f>AX108</f>
        <v>9.2</v>
      </c>
      <c r="AY110" s="25"/>
      <c r="AZ110" s="25"/>
      <c r="BA110" s="25"/>
      <c r="BC110" s="25"/>
      <c r="BD110" s="25"/>
      <c r="BE110" s="25"/>
      <c r="BF110" s="25"/>
      <c r="BG110" s="25"/>
      <c r="BH110" s="25"/>
    </row>
    <row r="111" spans="1:60" s="14" customFormat="1" ht="18" customHeight="1">
      <c r="A111" s="246"/>
      <c r="AG111" s="15"/>
      <c r="AV111" s="14">
        <f t="shared" si="25"/>
        <v>7</v>
      </c>
      <c r="AW111" s="25">
        <f>AW107</f>
        <v>4.08</v>
      </c>
      <c r="AX111" s="25">
        <f>AX107</f>
        <v>9.2</v>
      </c>
      <c r="AY111" s="25"/>
      <c r="AZ111" s="25"/>
      <c r="BA111" s="25"/>
      <c r="BC111" s="25"/>
      <c r="BD111" s="25"/>
      <c r="BE111" s="25"/>
      <c r="BF111" s="25"/>
      <c r="BG111" s="25"/>
      <c r="BH111" s="25"/>
    </row>
    <row r="112" spans="1:60" s="14" customFormat="1" ht="18" customHeight="1">
      <c r="A112" s="246"/>
      <c r="AG112" s="15"/>
      <c r="AV112" s="14">
        <f t="shared" si="25"/>
        <v>8</v>
      </c>
      <c r="AW112" s="25">
        <f>B</f>
        <v>3.16</v>
      </c>
      <c r="AX112" s="25">
        <f>0</f>
        <v>0</v>
      </c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</row>
    <row r="113" spans="1:60" s="14" customFormat="1" ht="18" customHeight="1">
      <c r="A113" s="246"/>
      <c r="AV113" s="14">
        <f t="shared" si="25"/>
        <v>9</v>
      </c>
      <c r="AW113" s="25">
        <v>0</v>
      </c>
      <c r="AX113" s="25">
        <f>0</f>
        <v>0</v>
      </c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</row>
    <row r="114" spans="1:49" s="14" customFormat="1" ht="18" customHeight="1">
      <c r="A114" s="246"/>
      <c r="AW114" s="14">
        <f>AW106</f>
        <v>3.6799999999999997</v>
      </c>
    </row>
    <row r="115" spans="1:49" s="14" customFormat="1" ht="18" customHeight="1">
      <c r="A115" s="246"/>
      <c r="AW115" s="14">
        <f>AW114</f>
        <v>3.6799999999999997</v>
      </c>
    </row>
    <row r="116" spans="1:53" s="14" customFormat="1" ht="18" customHeight="1">
      <c r="A116" s="246"/>
      <c r="Q116" s="13"/>
      <c r="R116" s="13"/>
      <c r="S116" s="13"/>
      <c r="AW116" s="25">
        <f>B</f>
        <v>3.16</v>
      </c>
      <c r="AX116" s="25"/>
      <c r="AY116" s="25">
        <v>0</v>
      </c>
      <c r="AZ116" s="25"/>
      <c r="BA116" s="25"/>
    </row>
    <row r="117" spans="1:53" s="14" customFormat="1" ht="18" customHeight="1">
      <c r="A117" s="246"/>
      <c r="Q117" s="13"/>
      <c r="R117" s="13"/>
      <c r="S117" s="13"/>
      <c r="AW117" s="25">
        <f>B+AY117/TAN(ωr)</f>
        <v>9.844191257649321</v>
      </c>
      <c r="AX117" s="25"/>
      <c r="AY117" s="44">
        <f>IF(shoul&lt;=0,Ha+Ho-zc,IF(ωr&lt;=ω0,Ha+Ho-zc,(Ha/COS(α)-zc*COS(β)/COS(α-β))*COS(α-β)/SIN(ωr-β)*SIN(ωr)))</f>
        <v>9.2</v>
      </c>
      <c r="AZ117" s="25"/>
      <c r="BA117" s="25"/>
    </row>
    <row r="118" spans="1:53" s="14" customFormat="1" ht="18" customHeight="1">
      <c r="A118" s="246"/>
      <c r="Q118" s="13"/>
      <c r="R118" s="13"/>
      <c r="S118" s="13"/>
      <c r="AE118" s="52"/>
      <c r="AW118" s="25">
        <f>AW117</f>
        <v>9.844191257649321</v>
      </c>
      <c r="AX118" s="25"/>
      <c r="AY118" s="44">
        <f>AY117+zc</f>
        <v>9.2</v>
      </c>
      <c r="AZ118" s="25"/>
      <c r="BA118" s="25"/>
    </row>
    <row r="119" spans="1:53" s="14" customFormat="1" ht="18" customHeight="1">
      <c r="A119" s="246"/>
      <c r="B119" s="58" t="s">
        <v>59</v>
      </c>
      <c r="C119" s="144">
        <f>Ha</f>
        <v>9.2</v>
      </c>
      <c r="D119" s="14" t="s">
        <v>108</v>
      </c>
      <c r="F119" s="56" t="s">
        <v>67</v>
      </c>
      <c r="G119" s="180">
        <f>Ho</f>
        <v>0</v>
      </c>
      <c r="H119" s="13" t="s">
        <v>108</v>
      </c>
      <c r="I119" s="13"/>
      <c r="J119" s="13"/>
      <c r="K119" s="13"/>
      <c r="L119" s="13"/>
      <c r="M119" s="13"/>
      <c r="N119" s="13"/>
      <c r="O119" s="13"/>
      <c r="P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52"/>
      <c r="AW119" s="25">
        <f>AW108</f>
        <v>4.08</v>
      </c>
      <c r="AX119" s="25"/>
      <c r="AY119" s="25"/>
      <c r="AZ119" s="25">
        <f>AX108</f>
        <v>9.2</v>
      </c>
      <c r="BA119" s="25"/>
    </row>
    <row r="120" spans="1:53" s="14" customFormat="1" ht="18" customHeight="1">
      <c r="A120" s="246"/>
      <c r="B120" s="112" t="s">
        <v>255</v>
      </c>
      <c r="C120" s="144">
        <f>β*180/PI()</f>
        <v>0</v>
      </c>
      <c r="D120" s="95" t="s">
        <v>404</v>
      </c>
      <c r="F120" s="112" t="s">
        <v>256</v>
      </c>
      <c r="G120" s="180">
        <f>α*180/PI()</f>
        <v>-5.7105931374996395</v>
      </c>
      <c r="H120" s="95" t="s">
        <v>404</v>
      </c>
      <c r="I120" s="13"/>
      <c r="J120" s="13"/>
      <c r="K120" s="13"/>
      <c r="L120" s="13"/>
      <c r="M120" s="13"/>
      <c r="N120" s="13"/>
      <c r="O120" s="13"/>
      <c r="P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52"/>
      <c r="AW120" s="25">
        <f>AW119</f>
        <v>4.08</v>
      </c>
      <c r="AX120" s="25"/>
      <c r="AY120" s="25"/>
      <c r="AZ120" s="25">
        <f>AZ119+q/γs</f>
        <v>9.2</v>
      </c>
      <c r="BA120" s="25"/>
    </row>
    <row r="121" spans="1:53" s="14" customFormat="1" ht="18" customHeight="1">
      <c r="A121" s="246"/>
      <c r="B121" s="112" t="s">
        <v>257</v>
      </c>
      <c r="C121" s="321">
        <f>γs</f>
        <v>19</v>
      </c>
      <c r="D121" s="14" t="s">
        <v>405</v>
      </c>
      <c r="F121" s="111" t="s">
        <v>258</v>
      </c>
      <c r="G121" s="110">
        <f>φ*180/PI()</f>
        <v>29.999999999999996</v>
      </c>
      <c r="H121" s="95" t="s">
        <v>404</v>
      </c>
      <c r="I121" s="13"/>
      <c r="J121" s="13"/>
      <c r="K121" s="13"/>
      <c r="L121" s="13"/>
      <c r="M121" s="13"/>
      <c r="N121" s="13"/>
      <c r="O121" s="13"/>
      <c r="P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52"/>
      <c r="AW121" s="25">
        <f>AW109</f>
        <v>11.422114769064372</v>
      </c>
      <c r="AX121" s="25"/>
      <c r="AY121" s="25"/>
      <c r="AZ121" s="25">
        <f>AZ120</f>
        <v>9.2</v>
      </c>
      <c r="BA121" s="25"/>
    </row>
    <row r="122" spans="1:53" s="14" customFormat="1" ht="18" customHeight="1">
      <c r="A122" s="246"/>
      <c r="B122" s="56" t="s">
        <v>75</v>
      </c>
      <c r="C122" s="322">
        <f>cu</f>
        <v>0</v>
      </c>
      <c r="D122" s="13" t="s">
        <v>406</v>
      </c>
      <c r="E122" s="13"/>
      <c r="F122" s="112" t="s">
        <v>259</v>
      </c>
      <c r="G122" s="144">
        <f>δu*180/PI()</f>
        <v>19.999999999999996</v>
      </c>
      <c r="H122" s="95" t="s">
        <v>404</v>
      </c>
      <c r="AE122" s="52"/>
      <c r="AW122" s="25"/>
      <c r="AX122" s="25"/>
      <c r="AY122" s="25"/>
      <c r="AZ122" s="25"/>
      <c r="BA122" s="25"/>
    </row>
    <row r="123" spans="1:53" s="14" customFormat="1" ht="18" customHeight="1">
      <c r="A123" s="246"/>
      <c r="B123" s="56" t="s">
        <v>76</v>
      </c>
      <c r="C123" s="180">
        <f>q</f>
        <v>0</v>
      </c>
      <c r="D123" s="13" t="s">
        <v>406</v>
      </c>
      <c r="E123" s="13"/>
      <c r="F123" s="112" t="s">
        <v>260</v>
      </c>
      <c r="G123" s="323">
        <f>θ*180/PI()</f>
        <v>0</v>
      </c>
      <c r="H123" s="95" t="s">
        <v>404</v>
      </c>
      <c r="AW123" s="25"/>
      <c r="AX123" s="25"/>
      <c r="AY123" s="25"/>
      <c r="AZ123" s="25"/>
      <c r="BA123" s="25"/>
    </row>
    <row r="124" spans="1:53" s="14" customFormat="1" ht="18" customHeight="1">
      <c r="A124" s="246"/>
      <c r="Q124" s="25"/>
      <c r="R124" s="25"/>
      <c r="S124" s="25"/>
      <c r="AE124" s="52"/>
      <c r="AW124" s="25">
        <v>0</v>
      </c>
      <c r="AX124" s="25"/>
      <c r="AY124" s="25"/>
      <c r="AZ124" s="25"/>
      <c r="BA124" s="25">
        <v>0</v>
      </c>
    </row>
    <row r="125" spans="1:53" s="14" customFormat="1" ht="18" customHeight="1">
      <c r="A125" s="246"/>
      <c r="D125" s="17" t="str">
        <f>"="</f>
        <v>=</v>
      </c>
      <c r="E125" s="39">
        <f>ROUND(2*C122/γs*TAN(PI()/4+φ/2),2)</f>
        <v>0</v>
      </c>
      <c r="F125" s="29" t="s">
        <v>170</v>
      </c>
      <c r="Q125" s="171"/>
      <c r="R125" s="171"/>
      <c r="S125" s="171"/>
      <c r="AE125" s="52"/>
      <c r="AW125" s="25">
        <v>0</v>
      </c>
      <c r="AX125" s="25"/>
      <c r="AY125" s="25"/>
      <c r="AZ125" s="25"/>
      <c r="BA125" s="25">
        <f>-qf/scal</f>
        <v>-2.5652</v>
      </c>
    </row>
    <row r="126" spans="1:53" s="14" customFormat="1" ht="18" customHeight="1">
      <c r="A126" s="246"/>
      <c r="Q126" s="25"/>
      <c r="R126" s="25"/>
      <c r="S126" s="25"/>
      <c r="AE126" s="52"/>
      <c r="AW126" s="25">
        <f>IF(3*d&gt;=B,B,3*d)</f>
        <v>3.16</v>
      </c>
      <c r="AX126" s="25"/>
      <c r="AY126" s="25"/>
      <c r="AZ126" s="25"/>
      <c r="BA126" s="25">
        <f>-qb/scal</f>
        <v>-0.1431</v>
      </c>
    </row>
    <row r="127" spans="1:53" s="14" customFormat="1" ht="18" customHeight="1">
      <c r="A127" s="246"/>
      <c r="B127" s="131" t="s">
        <v>261</v>
      </c>
      <c r="C127" s="132" t="s">
        <v>33</v>
      </c>
      <c r="D127" s="132" t="s">
        <v>32</v>
      </c>
      <c r="E127" s="132" t="s">
        <v>34</v>
      </c>
      <c r="F127" s="10" t="s">
        <v>262</v>
      </c>
      <c r="G127" s="13"/>
      <c r="H127" s="171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15"/>
      <c r="AF127" s="15"/>
      <c r="AW127" s="25">
        <f>AW126</f>
        <v>3.16</v>
      </c>
      <c r="AX127" s="25"/>
      <c r="AY127" s="25"/>
      <c r="AZ127" s="25"/>
      <c r="BA127" s="25">
        <f>0</f>
        <v>0</v>
      </c>
    </row>
    <row r="128" spans="1:54" s="14" customFormat="1" ht="18" customHeight="1">
      <c r="A128" s="246"/>
      <c r="B128" s="133">
        <f>ωu-4</f>
        <v>50</v>
      </c>
      <c r="C128" s="134">
        <f aca="true" t="shared" si="26" ref="C128:C136">VLOOKUP($B128,$CA$5:$CO$54,15,FALSE)</f>
        <v>6.799716606830976</v>
      </c>
      <c r="D128" s="134">
        <f aca="true" t="shared" si="27" ref="D128:D136">VLOOKUP($B128,$CA$5:$CO$54,10,FALSE)</f>
        <v>12.009747061856963</v>
      </c>
      <c r="E128" s="134">
        <f aca="true" t="shared" si="28" ref="E128:E136">VLOOKUP($B128,$CA$5:$CO$54,2,FALSE)</f>
        <v>594.2952314370273</v>
      </c>
      <c r="F128" s="135">
        <f aca="true" t="shared" si="29" ref="F128:F136">VLOOKUP($B128,$CA$5:$CO$54,11,FALSE)</f>
        <v>204.2747167982315</v>
      </c>
      <c r="H128" s="25"/>
      <c r="I128" s="171"/>
      <c r="J128" s="171"/>
      <c r="K128" s="171"/>
      <c r="L128" s="171"/>
      <c r="M128" s="171"/>
      <c r="N128" s="171"/>
      <c r="O128" s="171"/>
      <c r="P128" s="171"/>
      <c r="Q128" s="25"/>
      <c r="R128" s="25"/>
      <c r="S128" s="25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5"/>
      <c r="AF128" s="15"/>
      <c r="AW128" s="48">
        <f>E179</f>
        <v>2.43</v>
      </c>
      <c r="BB128" s="48">
        <f>F179</f>
        <v>3.41</v>
      </c>
    </row>
    <row r="129" spans="1:62" s="14" customFormat="1" ht="18" customHeight="1">
      <c r="A129" s="246"/>
      <c r="B129" s="133">
        <f aca="true" t="shared" si="30" ref="B129:B136">B128+1</f>
        <v>51</v>
      </c>
      <c r="C129" s="137">
        <f t="shared" si="26"/>
        <v>6.530013105394067</v>
      </c>
      <c r="D129" s="137">
        <f t="shared" si="27"/>
        <v>11.83818800621714</v>
      </c>
      <c r="E129" s="137">
        <f t="shared" si="28"/>
        <v>570.7231454114414</v>
      </c>
      <c r="F129" s="138">
        <f t="shared" si="29"/>
        <v>205.93976395847483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15"/>
      <c r="AF129" s="15"/>
      <c r="AW129" s="48">
        <f>AW128</f>
        <v>2.43</v>
      </c>
      <c r="BB129" s="14">
        <f>BB128-C179/'入力'!L17</f>
        <v>-0.35599999999999987</v>
      </c>
      <c r="BI129" s="15"/>
      <c r="BJ129" s="15"/>
    </row>
    <row r="130" spans="1:62" s="14" customFormat="1" ht="18" customHeight="1">
      <c r="A130" s="246"/>
      <c r="B130" s="133">
        <f t="shared" si="30"/>
        <v>52</v>
      </c>
      <c r="C130" s="137">
        <f t="shared" si="26"/>
        <v>6.2678277638618</v>
      </c>
      <c r="D130" s="137">
        <f t="shared" si="27"/>
        <v>11.674967578667724</v>
      </c>
      <c r="E130" s="137">
        <f t="shared" si="28"/>
        <v>547.8081465615212</v>
      </c>
      <c r="F130" s="138">
        <f t="shared" si="29"/>
        <v>207.08492042444945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5"/>
      <c r="AF130" s="15"/>
      <c r="AW130" s="48">
        <f>AW128</f>
        <v>2.43</v>
      </c>
      <c r="BC130" s="48">
        <f>BB128</f>
        <v>3.41</v>
      </c>
      <c r="BI130" s="15"/>
      <c r="BJ130" s="15"/>
    </row>
    <row r="131" spans="1:62" s="14" customFormat="1" ht="18" customHeight="1">
      <c r="A131" s="246"/>
      <c r="B131" s="133">
        <f t="shared" si="30"/>
        <v>53</v>
      </c>
      <c r="C131" s="137">
        <f t="shared" si="26"/>
        <v>6.012697260945707</v>
      </c>
      <c r="D131" s="137">
        <f t="shared" si="27"/>
        <v>11.519648055037276</v>
      </c>
      <c r="E131" s="137">
        <f t="shared" si="28"/>
        <v>525.5097406066546</v>
      </c>
      <c r="F131" s="138">
        <f t="shared" si="29"/>
        <v>207.72897996834405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5"/>
      <c r="AF131" s="15"/>
      <c r="AW131" s="14">
        <f>AW130-D179/'入力'!L17</f>
        <v>2.43</v>
      </c>
      <c r="BC131" s="48">
        <f>BC130</f>
        <v>3.41</v>
      </c>
      <c r="BI131" s="15"/>
      <c r="BJ131" s="15"/>
    </row>
    <row r="132" spans="1:62" s="14" customFormat="1" ht="18" customHeight="1">
      <c r="A132" s="246"/>
      <c r="B132" s="309">
        <f t="shared" si="30"/>
        <v>54</v>
      </c>
      <c r="C132" s="310">
        <f t="shared" si="26"/>
        <v>5.764191257649321</v>
      </c>
      <c r="D132" s="310">
        <f t="shared" si="27"/>
        <v>11.371825392998064</v>
      </c>
      <c r="E132" s="310">
        <f t="shared" si="28"/>
        <v>503.7903159185504</v>
      </c>
      <c r="F132" s="311">
        <f t="shared" si="29"/>
        <v>207.88854641658554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15"/>
      <c r="AF132" s="15"/>
      <c r="AW132" s="48">
        <f>E180</f>
        <v>3.47</v>
      </c>
      <c r="BD132" s="48">
        <f>F180</f>
        <v>3.07</v>
      </c>
      <c r="BE132" s="48"/>
      <c r="BF132" s="48"/>
      <c r="BI132" s="15"/>
      <c r="BJ132" s="15"/>
    </row>
    <row r="133" spans="1:62" s="14" customFormat="1" ht="18" customHeight="1">
      <c r="A133" s="246"/>
      <c r="B133" s="133">
        <f t="shared" si="30"/>
        <v>55</v>
      </c>
      <c r="C133" s="137">
        <f t="shared" si="26"/>
        <v>5.52190935152933</v>
      </c>
      <c r="D133" s="137">
        <f t="shared" si="27"/>
        <v>11.231126216605395</v>
      </c>
      <c r="E133" s="137">
        <f t="shared" si="28"/>
        <v>482.6148773236633</v>
      </c>
      <c r="F133" s="138">
        <f t="shared" si="29"/>
        <v>207.57819385626078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15"/>
      <c r="AF133" s="15"/>
      <c r="AW133" s="14">
        <f>AW132+D180/'入力'!L17</f>
        <v>5.4846</v>
      </c>
      <c r="BD133" s="14">
        <f>BD132+C180/'入力'!L17</f>
        <v>3.5831</v>
      </c>
      <c r="BI133" s="15"/>
      <c r="BJ133" s="15"/>
    </row>
    <row r="134" spans="1:62" s="14" customFormat="1" ht="18" customHeight="1">
      <c r="A134" s="246"/>
      <c r="B134" s="133">
        <f t="shared" si="30"/>
        <v>56</v>
      </c>
      <c r="C134" s="137">
        <f t="shared" si="26"/>
        <v>5.285478354950325</v>
      </c>
      <c r="D134" s="137">
        <f t="shared" si="27"/>
        <v>11.097205126235927</v>
      </c>
      <c r="E134" s="137">
        <f t="shared" si="28"/>
        <v>461.9508082226582</v>
      </c>
      <c r="F134" s="138">
        <f t="shared" si="29"/>
        <v>206.8106059640663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15"/>
      <c r="AF134" s="15"/>
      <c r="AH134" s="25"/>
      <c r="AI134" s="25"/>
      <c r="AJ134" s="25"/>
      <c r="AK134" s="25"/>
      <c r="AL134" s="25"/>
      <c r="AM134" s="25"/>
      <c r="AN134" s="25"/>
      <c r="AO134" s="55"/>
      <c r="AP134" s="25"/>
      <c r="AQ134" s="25"/>
      <c r="AW134" s="14">
        <f>AW106+bu/2-0.05</f>
        <v>3.83</v>
      </c>
      <c r="BE134" s="14">
        <f>Ha</f>
        <v>9.2</v>
      </c>
      <c r="BI134" s="15"/>
      <c r="BJ134" s="15"/>
    </row>
    <row r="135" spans="1:62" s="14" customFormat="1" ht="18" customHeight="1">
      <c r="A135" s="246"/>
      <c r="B135" s="133">
        <f t="shared" si="30"/>
        <v>57</v>
      </c>
      <c r="C135" s="137">
        <f t="shared" si="26"/>
        <v>5.054549857417098</v>
      </c>
      <c r="D135" s="137">
        <f t="shared" si="27"/>
        <v>10.969742294090716</v>
      </c>
      <c r="E135" s="137">
        <f t="shared" si="28"/>
        <v>441.7676575382544</v>
      </c>
      <c r="F135" s="138">
        <f t="shared" si="29"/>
        <v>205.59669673497842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15"/>
      <c r="AF135" s="15"/>
      <c r="AH135" s="20"/>
      <c r="AI135" s="25"/>
      <c r="AJ135" s="25"/>
      <c r="AK135" s="25"/>
      <c r="AL135" s="25"/>
      <c r="AM135" s="25"/>
      <c r="AN135" s="25"/>
      <c r="AO135" s="44"/>
      <c r="AP135" s="25"/>
      <c r="AQ135" s="25"/>
      <c r="AW135" s="14">
        <f>AW134</f>
        <v>3.83</v>
      </c>
      <c r="BE135" s="14">
        <f>IF(hp=0,BE134,BE134+hp+0.1)</f>
        <v>9.2</v>
      </c>
      <c r="BI135" s="15"/>
      <c r="BJ135" s="15"/>
    </row>
    <row r="136" spans="1:62" s="14" customFormat="1" ht="18" customHeight="1">
      <c r="A136" s="246"/>
      <c r="B136" s="139">
        <f t="shared" si="30"/>
        <v>58</v>
      </c>
      <c r="C136" s="141">
        <f t="shared" si="26"/>
        <v>4.828798037565812</v>
      </c>
      <c r="D136" s="141">
        <f t="shared" si="27"/>
        <v>10.848441310931287</v>
      </c>
      <c r="E136" s="141">
        <f t="shared" si="28"/>
        <v>422.036948483252</v>
      </c>
      <c r="F136" s="142">
        <f t="shared" si="29"/>
        <v>203.94571454019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13"/>
      <c r="AF136" s="13"/>
      <c r="AG136" s="13"/>
      <c r="AH136" s="83"/>
      <c r="AI136" s="25"/>
      <c r="AJ136" s="25"/>
      <c r="AK136" s="25"/>
      <c r="AL136" s="25"/>
      <c r="AM136" s="25"/>
      <c r="AN136" s="25"/>
      <c r="AO136" s="25"/>
      <c r="AP136" s="25"/>
      <c r="AQ136" s="25"/>
      <c r="AW136" s="14">
        <f>AW135+0.1</f>
        <v>3.93</v>
      </c>
      <c r="BE136" s="14">
        <f>BE135</f>
        <v>9.2</v>
      </c>
      <c r="BI136" s="15"/>
      <c r="BJ136" s="15"/>
    </row>
    <row r="137" spans="1:62" s="14" customFormat="1" ht="18" customHeight="1">
      <c r="A137" s="246"/>
      <c r="B137" s="21"/>
      <c r="C137" s="66"/>
      <c r="D137" s="66"/>
      <c r="E137" s="66"/>
      <c r="F137" s="6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13"/>
      <c r="AF137" s="13"/>
      <c r="AG137" s="13"/>
      <c r="AH137" s="4"/>
      <c r="AI137" s="172"/>
      <c r="AJ137" s="172"/>
      <c r="AK137" s="70"/>
      <c r="AL137" s="80"/>
      <c r="AM137" s="70"/>
      <c r="AN137" s="70"/>
      <c r="AO137" s="55"/>
      <c r="AP137" s="25"/>
      <c r="AQ137" s="25"/>
      <c r="AW137" s="14">
        <f>AW136</f>
        <v>3.93</v>
      </c>
      <c r="BE137" s="14">
        <f>BE134</f>
        <v>9.2</v>
      </c>
      <c r="BI137" s="15"/>
      <c r="BJ137" s="15"/>
    </row>
    <row r="138" spans="1:62" s="14" customFormat="1" ht="18" customHeight="1">
      <c r="A138" s="246"/>
      <c r="B138" s="21"/>
      <c r="C138" s="20"/>
      <c r="D138" s="66"/>
      <c r="E138" s="66"/>
      <c r="F138" s="6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13"/>
      <c r="AF138" s="13"/>
      <c r="AG138" s="13"/>
      <c r="AH138" s="4"/>
      <c r="AI138" s="172"/>
      <c r="AJ138" s="172"/>
      <c r="AK138" s="70"/>
      <c r="AL138" s="80"/>
      <c r="AM138" s="70"/>
      <c r="AN138" s="70"/>
      <c r="AO138" s="55"/>
      <c r="AP138" s="25"/>
      <c r="AQ138" s="25"/>
      <c r="AW138" s="14">
        <f>AW137</f>
        <v>3.93</v>
      </c>
      <c r="BF138" s="14">
        <f>IF(hp=0,Ha,BF139+0.05)</f>
        <v>9.2</v>
      </c>
      <c r="BI138" s="15"/>
      <c r="BJ138" s="15"/>
    </row>
    <row r="139" spans="1:62" s="14" customFormat="1" ht="18" customHeight="1">
      <c r="A139" s="246"/>
      <c r="B139" s="21"/>
      <c r="C139" s="20"/>
      <c r="D139" s="66"/>
      <c r="E139" s="66"/>
      <c r="F139" s="6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61"/>
      <c r="AF139" s="61"/>
      <c r="AG139" s="13"/>
      <c r="AH139" s="4"/>
      <c r="AI139" s="172"/>
      <c r="AJ139" s="172"/>
      <c r="AK139" s="70"/>
      <c r="AL139" s="80"/>
      <c r="AM139" s="70"/>
      <c r="AN139" s="70"/>
      <c r="AO139" s="55"/>
      <c r="AP139" s="25"/>
      <c r="AQ139" s="25"/>
      <c r="AW139" s="14">
        <f>AW138+0.1</f>
        <v>4.03</v>
      </c>
      <c r="BF139" s="14">
        <f>IF(hp=0,Ha,BF140+0.15)</f>
        <v>9.2</v>
      </c>
      <c r="BI139" s="15"/>
      <c r="BJ139" s="15"/>
    </row>
    <row r="140" spans="1:62" s="14" customFormat="1" ht="18" customHeight="1">
      <c r="A140" s="246"/>
      <c r="B140" s="21"/>
      <c r="C140" s="20"/>
      <c r="D140" s="66"/>
      <c r="E140" s="66"/>
      <c r="F140" s="6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61"/>
      <c r="AF140" s="61"/>
      <c r="AG140" s="13"/>
      <c r="AH140" s="4"/>
      <c r="AI140" s="172"/>
      <c r="AJ140" s="172"/>
      <c r="AK140" s="70"/>
      <c r="AL140" s="80"/>
      <c r="AM140" s="70"/>
      <c r="AN140" s="70"/>
      <c r="AO140" s="55"/>
      <c r="AP140" s="25"/>
      <c r="AQ140" s="25"/>
      <c r="AW140" s="14">
        <f>AW139</f>
        <v>4.03</v>
      </c>
      <c r="BF140" s="14">
        <f>IF(hp=0,Ha,BF141+0.1)</f>
        <v>9.2</v>
      </c>
      <c r="BI140" s="15"/>
      <c r="BJ140" s="15"/>
    </row>
    <row r="141" spans="1:62" s="14" customFormat="1" ht="18" customHeight="1">
      <c r="A141" s="246"/>
      <c r="B141" s="21"/>
      <c r="C141" s="20"/>
      <c r="D141" s="66"/>
      <c r="E141" s="66"/>
      <c r="F141" s="6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61"/>
      <c r="AF141" s="61"/>
      <c r="AG141" s="13"/>
      <c r="AH141" s="4"/>
      <c r="AI141" s="172"/>
      <c r="AJ141" s="172"/>
      <c r="AK141" s="70"/>
      <c r="AL141" s="80"/>
      <c r="AM141" s="70"/>
      <c r="AN141" s="70"/>
      <c r="AO141" s="55"/>
      <c r="AP141" s="25"/>
      <c r="AQ141" s="25"/>
      <c r="AW141" s="14">
        <f>AW138</f>
        <v>3.93</v>
      </c>
      <c r="BF141" s="14">
        <f>IF(hp=0,Ha,Ha+hp)</f>
        <v>9.2</v>
      </c>
      <c r="BI141" s="15"/>
      <c r="BJ141" s="15"/>
    </row>
    <row r="142" spans="1:62" s="14" customFormat="1" ht="18" customHeight="1">
      <c r="A142" s="246"/>
      <c r="B142" s="21"/>
      <c r="C142" s="20"/>
      <c r="D142" s="66"/>
      <c r="E142" s="66"/>
      <c r="F142" s="66"/>
      <c r="H142" s="25"/>
      <c r="I142" s="25"/>
      <c r="J142" s="25"/>
      <c r="K142" s="25"/>
      <c r="L142" s="25"/>
      <c r="M142" s="25"/>
      <c r="N142" s="25"/>
      <c r="O142" s="25"/>
      <c r="P142" s="25"/>
      <c r="Q142" s="15"/>
      <c r="R142" s="15"/>
      <c r="S142" s="1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15"/>
      <c r="AF142" s="15"/>
      <c r="AH142" s="66"/>
      <c r="AI142" s="87"/>
      <c r="AJ142" s="87"/>
      <c r="AK142" s="25"/>
      <c r="AL142" s="23"/>
      <c r="AM142" s="25"/>
      <c r="AN142" s="25"/>
      <c r="AO142" s="55"/>
      <c r="AP142" s="25"/>
      <c r="AQ142" s="25"/>
      <c r="AW142" s="14">
        <f>AW140</f>
        <v>4.03</v>
      </c>
      <c r="BF142" s="14">
        <f>IF(hp=0,Ha,BF141-0.1)</f>
        <v>9.2</v>
      </c>
      <c r="BI142" s="15"/>
      <c r="BJ142" s="15"/>
    </row>
    <row r="143" spans="1:62" s="14" customFormat="1" ht="18" customHeight="1">
      <c r="A143" s="246"/>
      <c r="B143" s="21"/>
      <c r="C143" s="20"/>
      <c r="D143" s="66"/>
      <c r="E143" s="66"/>
      <c r="F143" s="66"/>
      <c r="H143" s="25"/>
      <c r="I143" s="25"/>
      <c r="J143" s="25"/>
      <c r="K143" s="25"/>
      <c r="L143" s="25"/>
      <c r="M143" s="25"/>
      <c r="N143" s="25"/>
      <c r="O143" s="25"/>
      <c r="P143" s="25"/>
      <c r="Q143" s="15"/>
      <c r="R143" s="15"/>
      <c r="S143" s="1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15"/>
      <c r="AF143" s="15"/>
      <c r="AH143" s="66"/>
      <c r="AI143" s="87"/>
      <c r="AJ143" s="87"/>
      <c r="AK143" s="25"/>
      <c r="AL143" s="23"/>
      <c r="AM143" s="25"/>
      <c r="AN143" s="25"/>
      <c r="AO143" s="55"/>
      <c r="AP143" s="25"/>
      <c r="AQ143" s="25"/>
      <c r="AW143" s="14">
        <f>AW142</f>
        <v>4.03</v>
      </c>
      <c r="BF143" s="14">
        <f>IF(hp=0,Ha,BF142-0.15)</f>
        <v>9.2</v>
      </c>
      <c r="BI143" s="15"/>
      <c r="BJ143" s="15"/>
    </row>
    <row r="144" spans="1:62" s="14" customFormat="1" ht="18" customHeight="1">
      <c r="A144" s="253"/>
      <c r="B144" s="88"/>
      <c r="C144" s="67"/>
      <c r="D144" s="88"/>
      <c r="E144" s="62"/>
      <c r="F144" s="62"/>
      <c r="G144" s="62"/>
      <c r="H144" s="62"/>
      <c r="I144" s="25"/>
      <c r="J144" s="25"/>
      <c r="K144" s="25"/>
      <c r="L144" s="25"/>
      <c r="M144" s="25"/>
      <c r="N144" s="25"/>
      <c r="O144" s="25"/>
      <c r="P144" s="25"/>
      <c r="Q144" s="15"/>
      <c r="R144" s="15"/>
      <c r="S144" s="1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61"/>
      <c r="AF144" s="61"/>
      <c r="AG144" s="13"/>
      <c r="AH144" s="4"/>
      <c r="AI144" s="172"/>
      <c r="AJ144" s="172"/>
      <c r="AK144" s="70"/>
      <c r="AL144" s="80"/>
      <c r="AM144" s="70"/>
      <c r="AN144" s="70"/>
      <c r="AO144" s="55"/>
      <c r="AP144" s="25"/>
      <c r="AQ144" s="25"/>
      <c r="AW144" s="14">
        <f>AW141</f>
        <v>3.93</v>
      </c>
      <c r="BF144" s="14">
        <f>IF(hp=0,Ha,BF143-0.05)</f>
        <v>9.2</v>
      </c>
      <c r="BI144" s="15"/>
      <c r="BJ144" s="15"/>
    </row>
    <row r="145" spans="1:62" s="14" customFormat="1" ht="18" customHeight="1">
      <c r="A145" s="253"/>
      <c r="B145" s="88"/>
      <c r="C145" s="67"/>
      <c r="D145" s="88"/>
      <c r="E145" s="62"/>
      <c r="F145" s="62"/>
      <c r="G145" s="62"/>
      <c r="H145" s="62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3"/>
      <c r="AF145" s="13"/>
      <c r="AG145" s="13"/>
      <c r="AH145" s="4"/>
      <c r="AI145" s="172"/>
      <c r="AJ145" s="172"/>
      <c r="AK145" s="70"/>
      <c r="AL145" s="80"/>
      <c r="AM145" s="70"/>
      <c r="AN145" s="70"/>
      <c r="AO145" s="55"/>
      <c r="AP145" s="25"/>
      <c r="AQ145" s="25"/>
      <c r="AW145" s="14">
        <f>AW141</f>
        <v>3.93</v>
      </c>
      <c r="BG145" s="14">
        <f>BF141</f>
        <v>9.2</v>
      </c>
      <c r="BI145" s="15"/>
      <c r="BJ145" s="15"/>
    </row>
    <row r="146" spans="1:61" s="14" customFormat="1" ht="18" customHeight="1">
      <c r="A146" s="253"/>
      <c r="B146" s="88"/>
      <c r="C146" s="67"/>
      <c r="D146" s="88"/>
      <c r="E146" s="62"/>
      <c r="F146" s="62"/>
      <c r="G146" s="62"/>
      <c r="H146" s="62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3"/>
      <c r="AF146" s="13"/>
      <c r="AG146" s="13"/>
      <c r="AH146" s="4"/>
      <c r="AI146" s="172"/>
      <c r="AJ146" s="172"/>
      <c r="AK146" s="70"/>
      <c r="AL146" s="80"/>
      <c r="AM146" s="70"/>
      <c r="AN146" s="70"/>
      <c r="AO146" s="55"/>
      <c r="AP146" s="25"/>
      <c r="AQ146" s="25"/>
      <c r="AW146" s="14">
        <f>AW142+P/scal</f>
        <v>4.03</v>
      </c>
      <c r="BG146" s="14">
        <f>BG145</f>
        <v>9.2</v>
      </c>
      <c r="BI146" s="15"/>
    </row>
    <row r="147" spans="1:61" s="14" customFormat="1" ht="18" customHeight="1">
      <c r="A147" s="253"/>
      <c r="B147" s="88"/>
      <c r="C147" s="67"/>
      <c r="D147" s="88"/>
      <c r="E147" s="62"/>
      <c r="F147" s="62"/>
      <c r="G147" s="62"/>
      <c r="H147" s="62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3"/>
      <c r="AF147" s="13"/>
      <c r="AG147" s="13"/>
      <c r="AH147" s="4"/>
      <c r="AI147" s="172"/>
      <c r="AJ147" s="172"/>
      <c r="AK147" s="70"/>
      <c r="AL147" s="80"/>
      <c r="AM147" s="70"/>
      <c r="AN147" s="70"/>
      <c r="AO147" s="55"/>
      <c r="AP147" s="25"/>
      <c r="AQ147" s="25"/>
      <c r="AW147" s="48">
        <f>F184</f>
        <v>1.109</v>
      </c>
      <c r="BH147" s="14">
        <f>0</f>
        <v>0</v>
      </c>
      <c r="BI147" s="15"/>
    </row>
    <row r="148" spans="1:61" s="14" customFormat="1" ht="18" customHeight="1">
      <c r="A148" s="253"/>
      <c r="B148" s="88"/>
      <c r="C148" s="67"/>
      <c r="D148" s="88"/>
      <c r="E148" s="62"/>
      <c r="F148" s="62"/>
      <c r="G148" s="62"/>
      <c r="H148" s="62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H148" s="66"/>
      <c r="AI148" s="87"/>
      <c r="AJ148" s="87"/>
      <c r="AK148" s="25"/>
      <c r="AL148" s="23"/>
      <c r="AM148" s="25"/>
      <c r="AN148" s="25"/>
      <c r="AO148" s="55"/>
      <c r="AP148" s="25"/>
      <c r="AQ148" s="25"/>
      <c r="AW148" s="14">
        <f>AW147+D182/'入力'!L17</f>
        <v>3.1236</v>
      </c>
      <c r="BH148" s="14">
        <f>BH147+C182/'入力'!L17</f>
        <v>4.279100000000001</v>
      </c>
      <c r="BI148" s="15"/>
    </row>
    <row r="149" spans="1:61" s="14" customFormat="1" ht="18" customHeight="1">
      <c r="A149" s="253"/>
      <c r="B149" s="88"/>
      <c r="C149" s="67"/>
      <c r="D149" s="88"/>
      <c r="E149" s="62"/>
      <c r="F149" s="62"/>
      <c r="G149" s="62"/>
      <c r="H149" s="62"/>
      <c r="I149" s="15"/>
      <c r="J149" s="15"/>
      <c r="K149" s="15"/>
      <c r="L149" s="15"/>
      <c r="M149" s="15"/>
      <c r="N149" s="15"/>
      <c r="O149" s="15"/>
      <c r="P149" s="15"/>
      <c r="Q149" s="61"/>
      <c r="R149" s="61"/>
      <c r="S149" s="6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H149" s="66"/>
      <c r="AI149" s="87"/>
      <c r="AJ149" s="87"/>
      <c r="AK149" s="25"/>
      <c r="AL149" s="23"/>
      <c r="AM149" s="25"/>
      <c r="AN149" s="25"/>
      <c r="AO149" s="55"/>
      <c r="AP149" s="25"/>
      <c r="AQ149" s="25"/>
      <c r="BI149" s="15"/>
    </row>
    <row r="150" spans="1:61" s="14" customFormat="1" ht="18" customHeight="1">
      <c r="A150" s="253"/>
      <c r="B150" s="1" t="s">
        <v>38</v>
      </c>
      <c r="C150" s="15"/>
      <c r="D150" s="3" t="s">
        <v>82</v>
      </c>
      <c r="E150" s="324">
        <f>ωu</f>
        <v>54</v>
      </c>
      <c r="F150" s="1" t="s">
        <v>212</v>
      </c>
      <c r="H150" s="62"/>
      <c r="I150" s="15"/>
      <c r="J150" s="15"/>
      <c r="K150" s="15"/>
      <c r="L150" s="15"/>
      <c r="M150" s="15"/>
      <c r="N150" s="15"/>
      <c r="O150" s="15"/>
      <c r="P150" s="15"/>
      <c r="Q150" s="61"/>
      <c r="R150" s="61"/>
      <c r="S150" s="6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H150" s="66"/>
      <c r="AI150" s="87"/>
      <c r="AJ150" s="87"/>
      <c r="AK150" s="25"/>
      <c r="AL150" s="23"/>
      <c r="AM150" s="25"/>
      <c r="AN150" s="25"/>
      <c r="AO150" s="55"/>
      <c r="AP150" s="25"/>
      <c r="AQ150" s="25"/>
      <c r="BI150" s="15"/>
    </row>
    <row r="151" spans="1:61" s="14" customFormat="1" ht="18" customHeight="1">
      <c r="A151" s="253"/>
      <c r="B151" s="1" t="s">
        <v>39</v>
      </c>
      <c r="C151" s="3" t="s">
        <v>40</v>
      </c>
      <c r="D151" s="27" t="s">
        <v>83</v>
      </c>
      <c r="E151" s="325">
        <f>F132</f>
        <v>207.88854641658554</v>
      </c>
      <c r="F151" s="69" t="s">
        <v>171</v>
      </c>
      <c r="G151" s="13"/>
      <c r="H151" s="76"/>
      <c r="I151" s="15"/>
      <c r="J151" s="15"/>
      <c r="K151" s="15"/>
      <c r="L151" s="15"/>
      <c r="M151" s="15"/>
      <c r="N151" s="15"/>
      <c r="O151" s="15"/>
      <c r="P151" s="15"/>
      <c r="Q151" s="61"/>
      <c r="R151" s="61"/>
      <c r="S151" s="6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H151" s="66"/>
      <c r="AI151" s="87"/>
      <c r="AJ151" s="87"/>
      <c r="AK151" s="25"/>
      <c r="AL151" s="23"/>
      <c r="AM151" s="25"/>
      <c r="AN151" s="25"/>
      <c r="AO151" s="55"/>
      <c r="AP151" s="25"/>
      <c r="AQ151" s="25"/>
      <c r="BI151" s="15"/>
    </row>
    <row r="152" spans="1:61" s="14" customFormat="1" ht="18" customHeight="1">
      <c r="A152" s="253"/>
      <c r="B152" s="15"/>
      <c r="C152" s="2" t="s">
        <v>41</v>
      </c>
      <c r="D152" s="27" t="s">
        <v>84</v>
      </c>
      <c r="E152" s="325">
        <f>ROUND(E151*SIN(α+δu),2)</f>
        <v>51.31</v>
      </c>
      <c r="F152" s="69" t="s">
        <v>171</v>
      </c>
      <c r="G152" s="13"/>
      <c r="H152" s="76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H152" s="66"/>
      <c r="AI152" s="87"/>
      <c r="AJ152" s="87"/>
      <c r="AK152" s="25"/>
      <c r="AL152" s="23"/>
      <c r="AM152" s="25"/>
      <c r="AN152" s="25"/>
      <c r="AO152" s="55"/>
      <c r="AP152" s="25"/>
      <c r="AQ152" s="25"/>
      <c r="BI152" s="15"/>
    </row>
    <row r="153" spans="1:61" s="14" customFormat="1" ht="18" customHeight="1">
      <c r="A153" s="253"/>
      <c r="B153" s="15"/>
      <c r="C153" s="2" t="s">
        <v>42</v>
      </c>
      <c r="D153" s="75" t="s">
        <v>85</v>
      </c>
      <c r="E153" s="325">
        <f>ROUND(E151*COS(α+δu),2)</f>
        <v>201.46</v>
      </c>
      <c r="F153" s="69" t="s">
        <v>171</v>
      </c>
      <c r="G153" s="13"/>
      <c r="H153" s="76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H153" s="66"/>
      <c r="AI153" s="87"/>
      <c r="AJ153" s="87"/>
      <c r="AK153" s="25"/>
      <c r="AL153" s="23"/>
      <c r="AM153" s="25"/>
      <c r="AN153" s="25"/>
      <c r="AO153" s="55"/>
      <c r="AP153" s="25"/>
      <c r="AQ153" s="25"/>
      <c r="BH153" s="15"/>
      <c r="BI153" s="15"/>
    </row>
    <row r="154" spans="1:61" s="14" customFormat="1" ht="18" customHeight="1">
      <c r="A154" s="253"/>
      <c r="B154" s="1" t="s">
        <v>43</v>
      </c>
      <c r="C154" s="168"/>
      <c r="D154" s="27" t="s">
        <v>263</v>
      </c>
      <c r="E154" s="326">
        <f>ROUND(2*E151/(γs*Ha^2),5)</f>
        <v>0.25854</v>
      </c>
      <c r="F154" s="76" t="s">
        <v>428</v>
      </c>
      <c r="G154" s="13"/>
      <c r="H154" s="76"/>
      <c r="I154" s="61"/>
      <c r="J154" s="61"/>
      <c r="K154" s="61"/>
      <c r="L154" s="61"/>
      <c r="M154" s="61"/>
      <c r="N154" s="61"/>
      <c r="O154" s="61"/>
      <c r="P154" s="61"/>
      <c r="Q154" s="15"/>
      <c r="R154" s="15"/>
      <c r="S154" s="15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H154" s="66"/>
      <c r="AI154" s="87"/>
      <c r="AJ154" s="87"/>
      <c r="AK154" s="25"/>
      <c r="AL154" s="23"/>
      <c r="AM154" s="25"/>
      <c r="AN154" s="25"/>
      <c r="AO154" s="55"/>
      <c r="AP154" s="25"/>
      <c r="AQ154" s="25"/>
      <c r="BH154" s="15"/>
      <c r="BI154" s="15"/>
    </row>
    <row r="155" spans="1:61" s="14" customFormat="1" ht="18" customHeight="1">
      <c r="A155" s="246"/>
      <c r="B155" s="1" t="s">
        <v>44</v>
      </c>
      <c r="C155" s="15"/>
      <c r="D155" s="27" t="s">
        <v>86</v>
      </c>
      <c r="E155" s="325">
        <f>ROUND(Ha/3,2)</f>
        <v>3.07</v>
      </c>
      <c r="F155" s="106" t="s">
        <v>172</v>
      </c>
      <c r="G155" s="13"/>
      <c r="H155" s="13"/>
      <c r="I155" s="61"/>
      <c r="J155" s="61"/>
      <c r="K155" s="61"/>
      <c r="L155" s="61"/>
      <c r="M155" s="61"/>
      <c r="N155" s="61"/>
      <c r="O155" s="61"/>
      <c r="P155" s="61"/>
      <c r="Q155" s="15"/>
      <c r="R155" s="15"/>
      <c r="S155" s="15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H155" s="66"/>
      <c r="AI155" s="87"/>
      <c r="AJ155" s="87"/>
      <c r="AK155" s="25"/>
      <c r="AL155" s="23"/>
      <c r="AM155" s="25"/>
      <c r="AN155" s="25"/>
      <c r="AO155" s="55"/>
      <c r="AP155" s="25"/>
      <c r="AQ155" s="25"/>
      <c r="BH155" s="15"/>
      <c r="BI155" s="15"/>
    </row>
    <row r="156" spans="1:43" s="14" customFormat="1" ht="18" customHeight="1">
      <c r="A156" s="246"/>
      <c r="B156" s="15"/>
      <c r="C156" s="27"/>
      <c r="D156" s="27" t="s">
        <v>87</v>
      </c>
      <c r="E156" s="327">
        <f>ROUND(B-E155*nb,2)</f>
        <v>3.47</v>
      </c>
      <c r="F156" s="106" t="s">
        <v>172</v>
      </c>
      <c r="G156" s="13"/>
      <c r="H156" s="13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H156" s="66"/>
      <c r="AI156" s="87"/>
      <c r="AJ156" s="87"/>
      <c r="AK156" s="25"/>
      <c r="AL156" s="23"/>
      <c r="AM156" s="25"/>
      <c r="AN156" s="25"/>
      <c r="AO156" s="55"/>
      <c r="AP156" s="25"/>
      <c r="AQ156" s="25"/>
    </row>
    <row r="157" spans="1:43" s="14" customFormat="1" ht="18" customHeight="1">
      <c r="A157" s="314" t="s">
        <v>441</v>
      </c>
      <c r="E157" s="110"/>
      <c r="I157" s="15"/>
      <c r="J157" s="15"/>
      <c r="K157" s="15"/>
      <c r="L157" s="15"/>
      <c r="M157" s="15"/>
      <c r="N157" s="15"/>
      <c r="O157" s="15"/>
      <c r="P157" s="15"/>
      <c r="Q157" s="61"/>
      <c r="R157" s="61"/>
      <c r="S157" s="61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H157" s="66"/>
      <c r="AI157" s="87"/>
      <c r="AJ157" s="87"/>
      <c r="AK157" s="25"/>
      <c r="AL157" s="23"/>
      <c r="AM157" s="25"/>
      <c r="AN157" s="25"/>
      <c r="AO157" s="55"/>
      <c r="AP157" s="25"/>
      <c r="AQ157" s="25"/>
    </row>
    <row r="158" spans="1:43" s="14" customFormat="1" ht="18" customHeight="1">
      <c r="A158" s="246"/>
      <c r="C158" s="111" t="s">
        <v>264</v>
      </c>
      <c r="D158" s="27" t="s">
        <v>265</v>
      </c>
      <c r="E158" s="322">
        <f>P</f>
        <v>0</v>
      </c>
      <c r="F158" s="13" t="s">
        <v>157</v>
      </c>
      <c r="G158" s="13"/>
      <c r="H158" s="13"/>
      <c r="I158" s="15"/>
      <c r="J158" s="15"/>
      <c r="K158" s="15"/>
      <c r="L158" s="15"/>
      <c r="M158" s="15"/>
      <c r="N158" s="15"/>
      <c r="O158" s="15"/>
      <c r="P158" s="15"/>
      <c r="Q158" s="61"/>
      <c r="R158" s="61"/>
      <c r="S158" s="61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 spans="1:30" s="14" customFormat="1" ht="18" customHeight="1">
      <c r="A159" s="246"/>
      <c r="C159" s="111" t="s">
        <v>173</v>
      </c>
      <c r="D159" s="27" t="s">
        <v>266</v>
      </c>
      <c r="E159" s="180">
        <f>hp+Ha</f>
        <v>9.2</v>
      </c>
      <c r="F159" s="13" t="s">
        <v>174</v>
      </c>
      <c r="G159" s="13"/>
      <c r="H159" s="13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spans="1:30" s="14" customFormat="1" ht="18" customHeight="1">
      <c r="A160" s="246"/>
      <c r="C160" s="111" t="s">
        <v>175</v>
      </c>
      <c r="D160" s="27" t="s">
        <v>267</v>
      </c>
      <c r="E160" s="180">
        <f>Lw</f>
        <v>10</v>
      </c>
      <c r="F160" s="13" t="s">
        <v>176</v>
      </c>
      <c r="G160" s="13"/>
      <c r="H160" s="13"/>
      <c r="I160" s="61"/>
      <c r="J160" s="61"/>
      <c r="K160" s="61"/>
      <c r="L160" s="61"/>
      <c r="M160" s="61"/>
      <c r="N160" s="61"/>
      <c r="O160" s="61"/>
      <c r="P160" s="61"/>
      <c r="Q160" s="15"/>
      <c r="R160" s="15"/>
      <c r="S160" s="15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spans="1:31" s="14" customFormat="1" ht="18" customHeight="1">
      <c r="A161" s="246"/>
      <c r="C161" s="17" t="s">
        <v>450</v>
      </c>
      <c r="D161" s="27" t="s">
        <v>268</v>
      </c>
      <c r="E161" s="180">
        <f>E158/E160</f>
        <v>0</v>
      </c>
      <c r="F161" s="13" t="s">
        <v>323</v>
      </c>
      <c r="G161" s="13"/>
      <c r="H161" s="13"/>
      <c r="I161" s="61"/>
      <c r="J161" s="61"/>
      <c r="K161" s="61"/>
      <c r="L161" s="61"/>
      <c r="M161" s="61"/>
      <c r="N161" s="61"/>
      <c r="O161" s="61"/>
      <c r="P161" s="61"/>
      <c r="Q161" s="15"/>
      <c r="R161" s="15"/>
      <c r="S161" s="15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25"/>
    </row>
    <row r="162" spans="1:31" s="14" customFormat="1" ht="18" customHeight="1">
      <c r="A162" s="314" t="s">
        <v>442</v>
      </c>
      <c r="B162" s="66"/>
      <c r="C162" s="67"/>
      <c r="D162" s="66"/>
      <c r="E162" s="62"/>
      <c r="F162" s="62"/>
      <c r="G162" s="62"/>
      <c r="H162" s="62"/>
      <c r="I162" s="61"/>
      <c r="J162" s="61"/>
      <c r="K162" s="61"/>
      <c r="L162" s="61"/>
      <c r="M162" s="61"/>
      <c r="N162" s="61"/>
      <c r="O162" s="61"/>
      <c r="P162" s="61"/>
      <c r="Q162" s="15"/>
      <c r="R162" s="15"/>
      <c r="S162" s="15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20"/>
    </row>
    <row r="163" spans="1:93" ht="18" customHeight="1">
      <c r="A163" s="182"/>
      <c r="B163" s="66"/>
      <c r="C163" s="67"/>
      <c r="D163" s="66"/>
      <c r="E163" s="62"/>
      <c r="F163" s="62"/>
      <c r="G163" s="62"/>
      <c r="H163" s="62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07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</row>
    <row r="164" spans="1:31" ht="18" customHeight="1">
      <c r="A164" s="182"/>
      <c r="B164" s="66"/>
      <c r="C164" s="67"/>
      <c r="D164" s="66"/>
      <c r="E164" s="62"/>
      <c r="F164" s="62"/>
      <c r="G164" s="62"/>
      <c r="H164" s="62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4"/>
    </row>
    <row r="165" spans="1:93" s="14" customFormat="1" ht="18" customHeight="1">
      <c r="A165" s="182"/>
      <c r="B165" s="66"/>
      <c r="C165" s="67"/>
      <c r="D165" s="66"/>
      <c r="E165" s="62"/>
      <c r="F165" s="62"/>
      <c r="G165" s="62"/>
      <c r="H165" s="62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</row>
    <row r="166" spans="1:93" ht="18" customHeight="1">
      <c r="A166" s="182"/>
      <c r="B166" s="66"/>
      <c r="C166" s="67"/>
      <c r="D166" s="66"/>
      <c r="E166" s="62"/>
      <c r="F166" s="62"/>
      <c r="G166" s="62"/>
      <c r="H166" s="62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</row>
    <row r="167" spans="1:30" ht="18" customHeight="1">
      <c r="A167" s="182"/>
      <c r="B167" s="66"/>
      <c r="C167" s="67"/>
      <c r="D167" s="66"/>
      <c r="E167" s="62"/>
      <c r="F167" s="62"/>
      <c r="G167" s="62"/>
      <c r="H167" s="62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8" customHeight="1">
      <c r="A168" s="182"/>
      <c r="B168" s="66"/>
      <c r="C168" s="67"/>
      <c r="D168" s="66"/>
      <c r="E168" s="62"/>
      <c r="F168" s="62"/>
      <c r="G168" s="62"/>
      <c r="H168" s="62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8" customHeight="1">
      <c r="A169" s="182"/>
      <c r="B169" s="66"/>
      <c r="C169" s="67"/>
      <c r="D169" s="66"/>
      <c r="E169" s="62"/>
      <c r="F169" s="62"/>
      <c r="G169" s="62"/>
      <c r="H169" s="62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93" s="14" customFormat="1" ht="18" customHeight="1">
      <c r="A170" s="182"/>
      <c r="B170" s="66"/>
      <c r="C170" s="67"/>
      <c r="D170" s="66"/>
      <c r="E170" s="62"/>
      <c r="F170" s="62"/>
      <c r="G170" s="62"/>
      <c r="H170" s="62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</row>
    <row r="171" spans="1:31" s="14" customFormat="1" ht="18" customHeight="1">
      <c r="A171" s="182"/>
      <c r="B171" s="66"/>
      <c r="C171" s="67"/>
      <c r="D171" s="66"/>
      <c r="E171" s="62"/>
      <c r="F171" s="62"/>
      <c r="G171" s="62"/>
      <c r="H171" s="62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66"/>
    </row>
    <row r="172" spans="1:93" ht="18" customHeight="1">
      <c r="A172" s="182"/>
      <c r="B172" s="66"/>
      <c r="C172" s="67"/>
      <c r="D172" s="66"/>
      <c r="E172" s="62"/>
      <c r="F172" s="62"/>
      <c r="G172" s="62"/>
      <c r="H172" s="62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4"/>
      <c r="AG172" s="70"/>
      <c r="AH172" s="70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</row>
    <row r="173" spans="1:34" ht="18" customHeight="1">
      <c r="A173" s="182"/>
      <c r="B173" s="66"/>
      <c r="C173" s="67"/>
      <c r="D173" s="66"/>
      <c r="E173" s="62"/>
      <c r="F173" s="62"/>
      <c r="G173" s="62"/>
      <c r="H173" s="62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4"/>
      <c r="AG173" s="82"/>
      <c r="AH173" s="70"/>
    </row>
    <row r="174" spans="1:34" ht="18" customHeight="1">
      <c r="A174" s="182"/>
      <c r="B174" s="66"/>
      <c r="C174" s="67"/>
      <c r="D174" s="66"/>
      <c r="E174" s="62"/>
      <c r="F174" s="62"/>
      <c r="G174" s="62"/>
      <c r="H174" s="62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66"/>
      <c r="AF174" s="14"/>
      <c r="AG174" s="107"/>
      <c r="AH174" s="70"/>
    </row>
    <row r="175" spans="1:93" s="14" customFormat="1" ht="18" customHeight="1">
      <c r="A175" s="182"/>
      <c r="B175" s="66"/>
      <c r="C175" s="67"/>
      <c r="D175" s="66"/>
      <c r="E175" s="62"/>
      <c r="F175" s="62"/>
      <c r="G175" s="62"/>
      <c r="H175" s="62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306" t="s">
        <v>409</v>
      </c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66"/>
      <c r="AG175" s="66"/>
      <c r="AH175" s="25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</row>
    <row r="176" spans="1:93" ht="18" customHeight="1">
      <c r="A176" s="182"/>
      <c r="B176" s="66"/>
      <c r="C176" s="67"/>
      <c r="D176" s="66"/>
      <c r="E176" s="62"/>
      <c r="F176" s="62"/>
      <c r="G176" s="62"/>
      <c r="H176" s="62"/>
      <c r="I176" s="15"/>
      <c r="J176" s="15"/>
      <c r="K176" s="15"/>
      <c r="L176" s="15"/>
      <c r="M176" s="15"/>
      <c r="N176" s="15"/>
      <c r="O176" s="15"/>
      <c r="P176" s="15"/>
      <c r="Q176" s="61"/>
      <c r="R176" s="61"/>
      <c r="S176" s="61"/>
      <c r="T176" s="15" t="s">
        <v>407</v>
      </c>
      <c r="U176" s="15">
        <f>ROUND(C182/B*(1+6*e/B),2)</f>
        <v>256.52</v>
      </c>
      <c r="V176" s="15"/>
      <c r="W176" s="15"/>
      <c r="X176" s="15"/>
      <c r="Y176" s="15"/>
      <c r="Z176" s="15"/>
      <c r="AA176" s="15"/>
      <c r="AB176" s="15"/>
      <c r="AC176" s="15"/>
      <c r="AD176" s="15"/>
      <c r="AE176" s="4"/>
      <c r="AG176" s="4"/>
      <c r="AH176" s="70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</row>
    <row r="177" spans="1:34" ht="18" customHeight="1">
      <c r="A177" s="182"/>
      <c r="B177" s="66"/>
      <c r="C177" s="67"/>
      <c r="D177" s="66"/>
      <c r="E177" s="62"/>
      <c r="F177" s="62"/>
      <c r="G177" s="62"/>
      <c r="H177" s="62"/>
      <c r="I177" s="15"/>
      <c r="J177" s="15"/>
      <c r="K177" s="15"/>
      <c r="L177" s="15"/>
      <c r="M177" s="15"/>
      <c r="N177" s="15"/>
      <c r="O177" s="15"/>
      <c r="P177" s="15"/>
      <c r="Q177" s="61"/>
      <c r="R177" s="61"/>
      <c r="S177" s="61"/>
      <c r="T177" s="15" t="s">
        <v>408</v>
      </c>
      <c r="U177" s="15">
        <f>ROUND(C182/B*(1-6*e/B),2)</f>
        <v>14.31</v>
      </c>
      <c r="V177" s="15"/>
      <c r="W177" s="15"/>
      <c r="X177" s="15"/>
      <c r="Y177" s="15"/>
      <c r="Z177" s="15"/>
      <c r="AA177" s="15"/>
      <c r="AB177" s="15"/>
      <c r="AC177" s="15"/>
      <c r="AD177" s="15"/>
      <c r="AE177" s="4"/>
      <c r="AG177" s="4"/>
      <c r="AH177" s="70"/>
    </row>
    <row r="178" spans="1:93" s="14" customFormat="1" ht="18" customHeight="1">
      <c r="A178" s="246"/>
      <c r="B178" s="145" t="s">
        <v>50</v>
      </c>
      <c r="C178" s="132" t="s">
        <v>91</v>
      </c>
      <c r="D178" s="132" t="s">
        <v>92</v>
      </c>
      <c r="E178" s="132" t="s">
        <v>93</v>
      </c>
      <c r="F178" s="132" t="s">
        <v>94</v>
      </c>
      <c r="G178" s="132" t="s">
        <v>95</v>
      </c>
      <c r="H178" s="10" t="s">
        <v>96</v>
      </c>
      <c r="I178" s="15"/>
      <c r="J178" s="15"/>
      <c r="K178" s="15"/>
      <c r="L178" s="15"/>
      <c r="M178" s="15"/>
      <c r="N178" s="15"/>
      <c r="O178" s="15"/>
      <c r="P178" s="15"/>
      <c r="Q178" s="61"/>
      <c r="R178" s="61"/>
      <c r="S178" s="61"/>
      <c r="T178" s="306" t="s">
        <v>410</v>
      </c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66"/>
      <c r="AG178" s="66"/>
      <c r="AH178" s="25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</row>
    <row r="179" spans="1:93" ht="18" customHeight="1">
      <c r="A179" s="248"/>
      <c r="B179" s="146" t="s">
        <v>51</v>
      </c>
      <c r="C179" s="147">
        <f>F66</f>
        <v>376.6</v>
      </c>
      <c r="D179" s="147">
        <f>F68</f>
        <v>0</v>
      </c>
      <c r="E179" s="147">
        <f>G70</f>
        <v>2.43</v>
      </c>
      <c r="F179" s="147">
        <f>G72</f>
        <v>3.41</v>
      </c>
      <c r="G179" s="147">
        <f>C179*E179</f>
        <v>915.1380000000001</v>
      </c>
      <c r="H179" s="262">
        <f>D179*F179</f>
        <v>0</v>
      </c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15" t="s">
        <v>407</v>
      </c>
      <c r="U179" s="61">
        <f>ROUND(IF(d&lt;=B/2,2*C182/(3*d),0),2)</f>
        <v>257.23</v>
      </c>
      <c r="V179" s="61"/>
      <c r="W179" s="61"/>
      <c r="X179" s="61"/>
      <c r="Y179" s="61"/>
      <c r="Z179" s="61"/>
      <c r="AA179" s="61"/>
      <c r="AB179" s="61"/>
      <c r="AC179" s="61"/>
      <c r="AD179" s="61"/>
      <c r="AE179" s="4"/>
      <c r="AG179" s="4"/>
      <c r="AH179" s="70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</row>
    <row r="180" spans="1:93" s="14" customFormat="1" ht="18" customHeight="1">
      <c r="A180" s="248"/>
      <c r="B180" s="146" t="s">
        <v>52</v>
      </c>
      <c r="C180" s="147">
        <f>E152</f>
        <v>51.31</v>
      </c>
      <c r="D180" s="147">
        <f>E153</f>
        <v>201.46</v>
      </c>
      <c r="E180" s="147">
        <f>E156</f>
        <v>3.47</v>
      </c>
      <c r="F180" s="147">
        <f>E155</f>
        <v>3.07</v>
      </c>
      <c r="G180" s="147">
        <f>C180*E180</f>
        <v>178.0457</v>
      </c>
      <c r="H180" s="262">
        <f>D180*F180</f>
        <v>618.4822</v>
      </c>
      <c r="I180" s="61"/>
      <c r="J180" s="61"/>
      <c r="K180" s="61"/>
      <c r="L180" s="61"/>
      <c r="M180" s="61"/>
      <c r="N180" s="61"/>
      <c r="O180" s="61"/>
      <c r="P180" s="61"/>
      <c r="Q180" s="15"/>
      <c r="R180" s="15"/>
      <c r="S180" s="15"/>
      <c r="T180" s="15" t="s">
        <v>408</v>
      </c>
      <c r="U180" s="61">
        <f>ROUND(IF(d&lt;=B/2,0,2*C182/(3*(B-d))),2)</f>
        <v>0</v>
      </c>
      <c r="V180" s="61"/>
      <c r="W180" s="61"/>
      <c r="X180" s="61"/>
      <c r="Y180" s="61"/>
      <c r="Z180" s="61"/>
      <c r="AA180" s="61"/>
      <c r="AB180" s="61"/>
      <c r="AC180" s="61"/>
      <c r="AD180" s="61"/>
      <c r="AE180" s="66"/>
      <c r="AG180" s="66"/>
      <c r="AH180" s="25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</row>
    <row r="181" spans="1:93" ht="18" customHeight="1">
      <c r="A181" s="248"/>
      <c r="B181" s="148" t="s">
        <v>111</v>
      </c>
      <c r="C181" s="190">
        <v>0</v>
      </c>
      <c r="D181" s="190">
        <f>P/Lw</f>
        <v>0</v>
      </c>
      <c r="E181" s="312" t="s">
        <v>429</v>
      </c>
      <c r="F181" s="190">
        <f>Ha+hp</f>
        <v>9.2</v>
      </c>
      <c r="G181" s="190">
        <v>0</v>
      </c>
      <c r="H181" s="191">
        <f>D181*F181</f>
        <v>0</v>
      </c>
      <c r="I181" s="61"/>
      <c r="J181" s="61"/>
      <c r="K181" s="61"/>
      <c r="L181" s="61"/>
      <c r="M181" s="61"/>
      <c r="N181" s="61"/>
      <c r="O181" s="61"/>
      <c r="P181" s="61"/>
      <c r="Q181" s="15"/>
      <c r="R181" s="15"/>
      <c r="S181" s="15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4"/>
      <c r="AG181" s="4"/>
      <c r="AH181" s="70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</row>
    <row r="182" spans="1:93" s="14" customFormat="1" ht="18" customHeight="1">
      <c r="A182" s="248"/>
      <c r="B182" s="149" t="s">
        <v>53</v>
      </c>
      <c r="C182" s="263">
        <f>SUM(C179:C181)</f>
        <v>427.91</v>
      </c>
      <c r="D182" s="263">
        <f>SUM(D179:D181)</f>
        <v>201.46</v>
      </c>
      <c r="E182" s="313" t="s">
        <v>429</v>
      </c>
      <c r="F182" s="313" t="s">
        <v>429</v>
      </c>
      <c r="G182" s="263">
        <f>SUM(G179:G181)</f>
        <v>1093.1837</v>
      </c>
      <c r="H182" s="264">
        <f>SUM(H179:H181)</f>
        <v>618.4822</v>
      </c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6"/>
      <c r="AG182" s="66"/>
      <c r="AH182" s="25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</row>
    <row r="183" spans="1:93" ht="18" customHeight="1">
      <c r="A183" s="248"/>
      <c r="B183" s="15"/>
      <c r="C183" s="14"/>
      <c r="D183" s="14"/>
      <c r="E183" s="14"/>
      <c r="F183" s="14"/>
      <c r="G183" s="14"/>
      <c r="H183" s="15"/>
      <c r="I183" s="15"/>
      <c r="J183" s="15"/>
      <c r="K183" s="15"/>
      <c r="L183" s="15"/>
      <c r="M183" s="15"/>
      <c r="N183" s="15"/>
      <c r="O183" s="15"/>
      <c r="P183" s="15"/>
      <c r="Q183" s="61"/>
      <c r="R183" s="61"/>
      <c r="S183" s="61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4"/>
      <c r="AG183" s="4"/>
      <c r="AH183" s="70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</row>
    <row r="184" spans="1:93" s="14" customFormat="1" ht="18" customHeight="1">
      <c r="A184" s="248"/>
      <c r="B184" s="15"/>
      <c r="C184" s="1" t="s">
        <v>54</v>
      </c>
      <c r="D184" s="15"/>
      <c r="E184" s="27"/>
      <c r="F184" s="326">
        <f>ROUND((G182-H182)/C182,3)</f>
        <v>1.109</v>
      </c>
      <c r="G184" s="61" t="s">
        <v>177</v>
      </c>
      <c r="H184" s="61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66"/>
      <c r="AG184" s="66"/>
      <c r="AH184" s="25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</row>
    <row r="185" spans="1:93" ht="18" customHeight="1">
      <c r="A185" s="248"/>
      <c r="B185" s="61"/>
      <c r="F185" s="174"/>
      <c r="H185" s="61"/>
      <c r="I185" s="61"/>
      <c r="J185" s="61"/>
      <c r="K185" s="61"/>
      <c r="L185" s="61"/>
      <c r="M185" s="61"/>
      <c r="N185" s="61"/>
      <c r="O185" s="61"/>
      <c r="P185" s="61"/>
      <c r="Q185" s="15"/>
      <c r="R185" s="15"/>
      <c r="S185" s="15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G185" s="4"/>
      <c r="AH185" s="70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</row>
    <row r="186" spans="1:93" s="14" customFormat="1" ht="18" customHeight="1">
      <c r="A186" s="248"/>
      <c r="B186" s="61"/>
      <c r="C186" s="61"/>
      <c r="D186" s="61"/>
      <c r="E186" s="74"/>
      <c r="F186" s="328"/>
      <c r="G186" s="15"/>
      <c r="H186" s="15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G186" s="66"/>
      <c r="AH186" s="25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</row>
    <row r="187" spans="1:93" ht="18" customHeight="1">
      <c r="A187" s="248"/>
      <c r="B187" s="61"/>
      <c r="C187" s="1" t="s">
        <v>55</v>
      </c>
      <c r="D187" s="61"/>
      <c r="E187" s="74"/>
      <c r="F187" s="329">
        <f>ROUND(B/2-F184,4)</f>
        <v>0.471</v>
      </c>
      <c r="G187" s="15" t="s">
        <v>177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61"/>
      <c r="R187" s="61"/>
      <c r="S187" s="61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G187" s="4"/>
      <c r="AH187" s="70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</row>
    <row r="188" spans="1:93" s="14" customFormat="1" ht="18" customHeight="1">
      <c r="A188" s="248"/>
      <c r="B188" s="15"/>
      <c r="C188" s="15"/>
      <c r="D188" s="15"/>
      <c r="E188" s="27"/>
      <c r="F188" s="84"/>
      <c r="G188" s="61"/>
      <c r="H188" s="61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G188" s="66"/>
      <c r="AH188" s="25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</row>
    <row r="189" spans="1:93" ht="18" customHeight="1">
      <c r="A189" s="248"/>
      <c r="B189" s="61"/>
      <c r="C189" s="3" t="s">
        <v>56</v>
      </c>
      <c r="D189" s="85" t="s">
        <v>97</v>
      </c>
      <c r="E189" s="46">
        <f>IF(ABS(e)&lt;=B/6,U176,U179)</f>
        <v>256.52</v>
      </c>
      <c r="F189" s="15" t="s">
        <v>269</v>
      </c>
      <c r="G189" s="42" t="s">
        <v>98</v>
      </c>
      <c r="H189" s="322">
        <f>IF(ABS(e)&lt;=B/6,U177,U180)</f>
        <v>14.31</v>
      </c>
      <c r="I189" s="61" t="s">
        <v>269</v>
      </c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G189" s="4"/>
      <c r="AH189" s="70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</row>
    <row r="190" spans="1:93" s="14" customFormat="1" ht="18" customHeight="1">
      <c r="A190" s="248"/>
      <c r="B190" s="61"/>
      <c r="C190" s="61"/>
      <c r="D190" s="58" t="s">
        <v>99</v>
      </c>
      <c r="E190" s="46">
        <f>MAX(E189,H189)</f>
        <v>256.52</v>
      </c>
      <c r="F190" s="15" t="s">
        <v>269</v>
      </c>
      <c r="G190" s="15"/>
      <c r="H190" s="15"/>
      <c r="I190" s="61"/>
      <c r="J190" s="61"/>
      <c r="K190" s="61"/>
      <c r="L190" s="61"/>
      <c r="M190" s="61"/>
      <c r="N190" s="61"/>
      <c r="O190" s="61"/>
      <c r="P190" s="61"/>
      <c r="Q190" s="15"/>
      <c r="R190" s="15"/>
      <c r="S190" s="15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G190" s="66"/>
      <c r="AH190" s="25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</row>
    <row r="191" spans="1:93" ht="18" customHeight="1">
      <c r="A191" s="248"/>
      <c r="B191" s="15"/>
      <c r="C191" s="15"/>
      <c r="D191" s="15"/>
      <c r="E191" s="27"/>
      <c r="F191" s="84"/>
      <c r="G191" s="61"/>
      <c r="H191" s="61"/>
      <c r="I191" s="15"/>
      <c r="J191" s="15"/>
      <c r="K191" s="15"/>
      <c r="L191" s="15"/>
      <c r="M191" s="15"/>
      <c r="N191" s="15"/>
      <c r="O191" s="15"/>
      <c r="P191" s="15"/>
      <c r="Q191" s="61"/>
      <c r="R191" s="61"/>
      <c r="S191" s="61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G191" s="4"/>
      <c r="AH191" s="70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</row>
    <row r="192" spans="1:93" s="14" customFormat="1" ht="18" customHeight="1">
      <c r="A192" s="248"/>
      <c r="B192" s="61"/>
      <c r="C192" s="61"/>
      <c r="D192" s="61"/>
      <c r="E192" s="74"/>
      <c r="F192" s="77"/>
      <c r="G192" s="15"/>
      <c r="H192" s="15"/>
      <c r="I192" s="61"/>
      <c r="J192" s="61"/>
      <c r="K192" s="61"/>
      <c r="L192" s="61"/>
      <c r="M192" s="61"/>
      <c r="N192" s="61"/>
      <c r="O192" s="61"/>
      <c r="P192" s="61"/>
      <c r="Q192" s="15"/>
      <c r="R192" s="15"/>
      <c r="S192" s="15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G192" s="66"/>
      <c r="AH192" s="25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</row>
    <row r="193" spans="1:93" ht="18" customHeight="1">
      <c r="A193" s="248"/>
      <c r="B193" s="15"/>
      <c r="C193" s="15"/>
      <c r="D193" s="15"/>
      <c r="E193" s="27"/>
      <c r="F193" s="84"/>
      <c r="G193" s="61"/>
      <c r="H193" s="61"/>
      <c r="I193" s="15"/>
      <c r="J193" s="15"/>
      <c r="K193" s="15"/>
      <c r="L193" s="15"/>
      <c r="M193" s="15"/>
      <c r="N193" s="15"/>
      <c r="O193" s="15"/>
      <c r="P193" s="15"/>
      <c r="Q193" s="61"/>
      <c r="R193" s="61"/>
      <c r="S193" s="61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G193" s="4"/>
      <c r="AH193" s="70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</row>
    <row r="194" spans="1:93" s="14" customFormat="1" ht="18" customHeight="1">
      <c r="A194" s="248"/>
      <c r="B194" s="61"/>
      <c r="C194" s="61"/>
      <c r="D194" s="61"/>
      <c r="E194" s="74"/>
      <c r="F194" s="77"/>
      <c r="G194" s="15"/>
      <c r="H194" s="15"/>
      <c r="I194" s="61"/>
      <c r="J194" s="61"/>
      <c r="K194" s="61"/>
      <c r="L194" s="61"/>
      <c r="M194" s="61"/>
      <c r="N194" s="61"/>
      <c r="O194" s="61"/>
      <c r="P194" s="61"/>
      <c r="Q194" s="15"/>
      <c r="R194" s="15"/>
      <c r="S194" s="15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G194" s="66"/>
      <c r="AH194" s="25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</row>
    <row r="195" spans="1:93" ht="18" customHeight="1">
      <c r="A195" s="248"/>
      <c r="B195" s="15"/>
      <c r="C195" s="15"/>
      <c r="D195" s="15"/>
      <c r="E195" s="27"/>
      <c r="F195" s="84"/>
      <c r="G195" s="61"/>
      <c r="H195" s="61"/>
      <c r="I195" s="15"/>
      <c r="J195" s="15"/>
      <c r="K195" s="15"/>
      <c r="L195" s="15"/>
      <c r="M195" s="15"/>
      <c r="N195" s="15"/>
      <c r="O195" s="15"/>
      <c r="P195" s="15"/>
      <c r="Q195" s="61"/>
      <c r="R195" s="61"/>
      <c r="S195" s="61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G195" s="4"/>
      <c r="AH195" s="70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</row>
    <row r="196" spans="1:93" s="14" customFormat="1" ht="18" customHeight="1">
      <c r="A196" s="248"/>
      <c r="B196" s="61"/>
      <c r="C196" s="61"/>
      <c r="D196" s="61"/>
      <c r="E196" s="74"/>
      <c r="F196" s="77"/>
      <c r="G196" s="15"/>
      <c r="H196" s="15"/>
      <c r="I196" s="61"/>
      <c r="J196" s="61"/>
      <c r="K196" s="61"/>
      <c r="L196" s="61"/>
      <c r="M196" s="61"/>
      <c r="N196" s="61"/>
      <c r="O196" s="61"/>
      <c r="P196" s="61"/>
      <c r="Q196" s="15"/>
      <c r="R196" s="15"/>
      <c r="S196" s="15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G196" s="25"/>
      <c r="AH196" s="25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</row>
    <row r="197" spans="1:34" s="14" customFormat="1" ht="18" customHeight="1">
      <c r="A197" s="248"/>
      <c r="B197" s="15"/>
      <c r="C197" s="15"/>
      <c r="D197" s="15"/>
      <c r="E197" s="27"/>
      <c r="F197" s="84"/>
      <c r="G197" s="61"/>
      <c r="H197" s="61"/>
      <c r="I197" s="15"/>
      <c r="J197" s="15"/>
      <c r="K197" s="15"/>
      <c r="L197" s="15"/>
      <c r="M197" s="15"/>
      <c r="N197" s="15"/>
      <c r="O197" s="15"/>
      <c r="P197" s="15"/>
      <c r="Q197" s="61"/>
      <c r="R197" s="61"/>
      <c r="S197" s="61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G197" s="25"/>
      <c r="AH197" s="25"/>
    </row>
    <row r="198" spans="1:93" ht="18" customHeight="1">
      <c r="A198" s="248"/>
      <c r="B198" s="61"/>
      <c r="C198" s="61"/>
      <c r="D198" s="61"/>
      <c r="E198" s="74"/>
      <c r="F198" s="77"/>
      <c r="G198" s="15"/>
      <c r="H198" s="15"/>
      <c r="I198" s="61"/>
      <c r="J198" s="61"/>
      <c r="K198" s="61"/>
      <c r="L198" s="61"/>
      <c r="M198" s="61"/>
      <c r="N198" s="61"/>
      <c r="O198" s="61"/>
      <c r="P198" s="61"/>
      <c r="Q198" s="15"/>
      <c r="R198" s="15"/>
      <c r="S198" s="15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G198" s="70"/>
      <c r="AH198" s="70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</row>
    <row r="199" spans="1:34" ht="18" customHeight="1">
      <c r="A199" s="248"/>
      <c r="B199" s="15"/>
      <c r="C199" s="15"/>
      <c r="D199" s="15"/>
      <c r="E199" s="27"/>
      <c r="F199" s="84"/>
      <c r="G199" s="61"/>
      <c r="H199" s="61"/>
      <c r="I199" s="15"/>
      <c r="J199" s="15"/>
      <c r="K199" s="15"/>
      <c r="L199" s="15"/>
      <c r="M199" s="15"/>
      <c r="N199" s="15"/>
      <c r="O199" s="15"/>
      <c r="P199" s="15"/>
      <c r="Q199" s="79"/>
      <c r="R199" s="79"/>
      <c r="S199" s="79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G199" s="70"/>
      <c r="AH199" s="70"/>
    </row>
    <row r="200" spans="1:30" ht="18" customHeight="1">
      <c r="A200" s="248"/>
      <c r="B200" s="61"/>
      <c r="C200" s="61"/>
      <c r="D200" s="61"/>
      <c r="E200" s="74"/>
      <c r="F200" s="77"/>
      <c r="G200" s="15"/>
      <c r="H200" s="15"/>
      <c r="I200" s="61"/>
      <c r="J200" s="61"/>
      <c r="K200" s="61"/>
      <c r="L200" s="61"/>
      <c r="M200" s="61"/>
      <c r="N200" s="61"/>
      <c r="O200" s="61"/>
      <c r="P200" s="61"/>
      <c r="Q200" s="242"/>
      <c r="R200" s="242"/>
      <c r="S200" s="24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spans="1:93" s="14" customFormat="1" ht="18" customHeight="1">
      <c r="A201" s="248"/>
      <c r="B201" s="15"/>
      <c r="C201" s="15"/>
      <c r="D201" s="15"/>
      <c r="E201" s="27"/>
      <c r="F201" s="84"/>
      <c r="G201" s="61"/>
      <c r="H201" s="61"/>
      <c r="I201" s="15"/>
      <c r="J201" s="15"/>
      <c r="K201" s="15"/>
      <c r="L201" s="15"/>
      <c r="M201" s="15"/>
      <c r="N201" s="15"/>
      <c r="O201" s="15"/>
      <c r="P201" s="15"/>
      <c r="Q201" s="59"/>
      <c r="R201" s="59"/>
      <c r="S201" s="59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</row>
    <row r="202" spans="1:30" s="14" customFormat="1" ht="18" customHeight="1">
      <c r="A202" s="250"/>
      <c r="B202" s="79"/>
      <c r="C202" s="79"/>
      <c r="D202" s="79"/>
      <c r="E202" s="237"/>
      <c r="F202" s="22"/>
      <c r="G202" s="24"/>
      <c r="H202" s="24"/>
      <c r="I202" s="79"/>
      <c r="J202" s="79"/>
      <c r="K202" s="79"/>
      <c r="L202" s="79"/>
      <c r="M202" s="79"/>
      <c r="N202" s="79"/>
      <c r="O202" s="79"/>
      <c r="P202" s="79"/>
      <c r="Q202" s="109"/>
      <c r="R202" s="109"/>
      <c r="S202" s="10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</row>
    <row r="203" spans="1:30" s="14" customFormat="1" ht="18" customHeight="1">
      <c r="A203" s="250"/>
      <c r="B203" s="79"/>
      <c r="C203" s="79"/>
      <c r="D203" s="79"/>
      <c r="E203" s="237"/>
      <c r="F203" s="22"/>
      <c r="G203" s="24"/>
      <c r="H203" s="24"/>
      <c r="I203" s="79"/>
      <c r="J203" s="79"/>
      <c r="K203" s="79"/>
      <c r="L203" s="79"/>
      <c r="M203" s="79"/>
      <c r="N203" s="79"/>
      <c r="O203" s="79"/>
      <c r="P203" s="79"/>
      <c r="Q203" s="109"/>
      <c r="R203" s="109"/>
      <c r="S203" s="109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</row>
    <row r="204" spans="1:30" s="14" customFormat="1" ht="18" customHeight="1">
      <c r="A204" s="250"/>
      <c r="B204" s="79"/>
      <c r="C204" s="79"/>
      <c r="D204" s="79"/>
      <c r="E204" s="237"/>
      <c r="F204" s="22"/>
      <c r="G204" s="24"/>
      <c r="H204" s="24"/>
      <c r="I204" s="79"/>
      <c r="J204" s="79"/>
      <c r="K204" s="79"/>
      <c r="L204" s="79"/>
      <c r="M204" s="79"/>
      <c r="N204" s="79"/>
      <c r="O204" s="79"/>
      <c r="P204" s="79"/>
      <c r="Q204" s="13"/>
      <c r="R204" s="13"/>
      <c r="S204" s="13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1:30" s="14" customFormat="1" ht="18" customHeight="1">
      <c r="A205" s="250"/>
      <c r="B205" s="79"/>
      <c r="C205" s="79"/>
      <c r="D205" s="79"/>
      <c r="E205" s="237"/>
      <c r="F205" s="22"/>
      <c r="G205" s="24"/>
      <c r="H205" s="24"/>
      <c r="I205" s="79"/>
      <c r="J205" s="79"/>
      <c r="K205" s="79"/>
      <c r="L205" s="79"/>
      <c r="M205" s="79"/>
      <c r="N205" s="79"/>
      <c r="O205" s="79"/>
      <c r="P205" s="79"/>
      <c r="Q205" s="13"/>
      <c r="R205" s="13"/>
      <c r="S205" s="13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</row>
    <row r="206" spans="1:93" ht="18" customHeight="1">
      <c r="A206" s="250"/>
      <c r="B206" s="79"/>
      <c r="C206" s="79"/>
      <c r="D206" s="79"/>
      <c r="E206" s="237"/>
      <c r="F206" s="22"/>
      <c r="G206" s="24"/>
      <c r="H206" s="24"/>
      <c r="I206" s="79"/>
      <c r="J206" s="79"/>
      <c r="K206" s="79"/>
      <c r="L206" s="79"/>
      <c r="M206" s="79"/>
      <c r="N206" s="79"/>
      <c r="O206" s="79"/>
      <c r="P206" s="7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</row>
    <row r="207" spans="1:93" s="14" customFormat="1" ht="18" customHeight="1">
      <c r="A207" s="250"/>
      <c r="B207" s="79"/>
      <c r="C207" s="79"/>
      <c r="D207" s="79"/>
      <c r="E207" s="237"/>
      <c r="F207" s="22"/>
      <c r="G207" s="24"/>
      <c r="H207" s="24"/>
      <c r="I207" s="79"/>
      <c r="J207" s="79"/>
      <c r="K207" s="79"/>
      <c r="L207" s="79"/>
      <c r="M207" s="79"/>
      <c r="N207" s="79"/>
      <c r="O207" s="79"/>
      <c r="P207" s="7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</row>
    <row r="208" spans="1:30" s="14" customFormat="1" ht="18" customHeight="1">
      <c r="A208" s="250"/>
      <c r="B208" s="79"/>
      <c r="C208" s="79"/>
      <c r="D208" s="79"/>
      <c r="E208" s="237"/>
      <c r="F208" s="22"/>
      <c r="G208" s="24"/>
      <c r="H208" s="24"/>
      <c r="I208" s="79"/>
      <c r="J208" s="79"/>
      <c r="K208" s="79"/>
      <c r="L208" s="79"/>
      <c r="M208" s="79"/>
      <c r="N208" s="79"/>
      <c r="O208" s="79"/>
      <c r="P208" s="7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s="14" customFormat="1" ht="18" customHeight="1">
      <c r="A209" s="238" t="s">
        <v>461</v>
      </c>
      <c r="B209" s="154"/>
      <c r="C209" s="239"/>
      <c r="D209" s="240"/>
      <c r="E209" s="70"/>
      <c r="F209" s="70"/>
      <c r="G209" s="241"/>
      <c r="H209" s="241"/>
      <c r="I209" s="242"/>
      <c r="J209" s="242"/>
      <c r="K209" s="242"/>
      <c r="L209" s="242"/>
      <c r="M209" s="242"/>
      <c r="N209" s="242"/>
      <c r="O209" s="242"/>
      <c r="P209" s="242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16" s="14" customFormat="1" ht="18" customHeight="1">
      <c r="A210" s="246" t="s">
        <v>462</v>
      </c>
      <c r="B210" s="13"/>
      <c r="C210" s="58"/>
      <c r="D210" s="109"/>
      <c r="G210" s="17"/>
      <c r="H210" s="17"/>
      <c r="I210" s="59"/>
      <c r="J210" s="59"/>
      <c r="K210" s="59"/>
      <c r="L210" s="59"/>
      <c r="M210" s="59"/>
      <c r="N210" s="59"/>
      <c r="O210" s="59"/>
      <c r="P210" s="59"/>
    </row>
    <row r="211" spans="1:16" s="14" customFormat="1" ht="18" customHeight="1">
      <c r="A211" s="246"/>
      <c r="B211" s="108" t="s">
        <v>179</v>
      </c>
      <c r="C211" s="56" t="s">
        <v>180</v>
      </c>
      <c r="D211" s="180">
        <f>B</f>
        <v>3.16</v>
      </c>
      <c r="E211" s="13" t="s">
        <v>178</v>
      </c>
      <c r="J211" s="109"/>
      <c r="K211" s="109"/>
      <c r="L211" s="109"/>
      <c r="M211" s="109"/>
      <c r="N211" s="109"/>
      <c r="O211" s="109"/>
      <c r="P211" s="109"/>
    </row>
    <row r="212" spans="1:19" s="14" customFormat="1" ht="18" customHeight="1">
      <c r="A212" s="246"/>
      <c r="B212" s="108" t="s">
        <v>109</v>
      </c>
      <c r="C212" s="58" t="s">
        <v>181</v>
      </c>
      <c r="D212" s="110">
        <f>e</f>
        <v>0.471</v>
      </c>
      <c r="E212" s="109" t="s">
        <v>178</v>
      </c>
      <c r="F212" s="174" t="str">
        <f>IF(D212&gt;H212,"&gt;","&lt;")</f>
        <v>&lt;</v>
      </c>
      <c r="G212" s="17" t="s">
        <v>493</v>
      </c>
      <c r="H212" s="17">
        <f>ROUND(IF(Kh=0,D211/6,D211/3),3)</f>
        <v>0.527</v>
      </c>
      <c r="I212" s="109" t="s">
        <v>494</v>
      </c>
      <c r="J212" s="109"/>
      <c r="K212" s="109"/>
      <c r="L212" s="109"/>
      <c r="M212" s="109"/>
      <c r="N212" s="109"/>
      <c r="O212" s="109"/>
      <c r="P212" s="109"/>
      <c r="Q212" s="13"/>
      <c r="R212" s="13"/>
      <c r="S212" s="13"/>
    </row>
    <row r="213" spans="1:19" s="14" customFormat="1" ht="18" customHeight="1">
      <c r="A213" s="246"/>
      <c r="B213" s="108"/>
      <c r="C213" s="58"/>
      <c r="D213" s="110"/>
      <c r="E213" s="109"/>
      <c r="F213" s="174"/>
      <c r="G213" s="17"/>
      <c r="H213" s="174" t="str">
        <f>IF(D212&lt;=H212,"SAFE","OUT")</f>
        <v>SAFE</v>
      </c>
      <c r="I213" s="109"/>
      <c r="J213" s="109"/>
      <c r="K213" s="109"/>
      <c r="L213" s="109"/>
      <c r="M213" s="109"/>
      <c r="N213" s="109"/>
      <c r="O213" s="109"/>
      <c r="P213" s="109"/>
      <c r="Q213" s="13"/>
      <c r="R213" s="13"/>
      <c r="S213" s="13"/>
    </row>
    <row r="214" spans="2:93" ht="18" customHeight="1">
      <c r="B214" s="108" t="s">
        <v>182</v>
      </c>
      <c r="D214" s="180">
        <f>ROUND(B/ABS(2*D212),2)</f>
        <v>3.35</v>
      </c>
      <c r="E214" s="174" t="str">
        <f>IF(D214&gt;F214,"&gt;","&lt;")</f>
        <v>&gt;</v>
      </c>
      <c r="F214" s="180">
        <f>IF(P&gt;0,1.5,IF(Kh&gt;0,1.5,3))</f>
        <v>3</v>
      </c>
      <c r="H214" s="174" t="str">
        <f>IF(D214&gt;F214,"SAFE","OUT")</f>
        <v>SAFE</v>
      </c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</row>
    <row r="215" spans="4:30" ht="18" customHeight="1">
      <c r="D215" s="57"/>
      <c r="E215" s="174"/>
      <c r="F215" s="57"/>
      <c r="H215" s="17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93" s="14" customFormat="1" ht="18" customHeight="1">
      <c r="A216" s="246" t="s">
        <v>463</v>
      </c>
      <c r="B216" s="58"/>
      <c r="I216" s="13"/>
      <c r="J216" s="13"/>
      <c r="K216" s="13"/>
      <c r="L216" s="13"/>
      <c r="M216" s="13"/>
      <c r="N216" s="13"/>
      <c r="O216" s="13"/>
      <c r="P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</row>
    <row r="217" spans="2:93" ht="18" customHeight="1">
      <c r="B217" s="111" t="s">
        <v>183</v>
      </c>
      <c r="C217" s="111" t="s">
        <v>270</v>
      </c>
      <c r="D217" s="144">
        <f>C182</f>
        <v>427.91</v>
      </c>
      <c r="E217" s="14" t="s">
        <v>184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</row>
    <row r="218" spans="1:93" s="14" customFormat="1" ht="18" customHeight="1">
      <c r="A218" s="246"/>
      <c r="B218" s="111" t="s">
        <v>185</v>
      </c>
      <c r="C218" s="111" t="s">
        <v>271</v>
      </c>
      <c r="D218" s="144">
        <f>D182</f>
        <v>201.46</v>
      </c>
      <c r="E218" s="14" t="s">
        <v>186</v>
      </c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</row>
    <row r="219" spans="2:93" ht="18" customHeight="1">
      <c r="B219" s="111" t="s">
        <v>187</v>
      </c>
      <c r="C219" s="111" t="s">
        <v>272</v>
      </c>
      <c r="D219" s="110">
        <f>μ</f>
        <v>0.7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</row>
    <row r="220" spans="1:93" s="14" customFormat="1" ht="18" customHeight="1">
      <c r="A220" s="246"/>
      <c r="B220" s="111" t="s">
        <v>188</v>
      </c>
      <c r="C220" s="17"/>
      <c r="D220" s="110"/>
      <c r="Q220" s="13"/>
      <c r="R220" s="13"/>
      <c r="S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</row>
    <row r="221" spans="2:93" ht="18" customHeight="1">
      <c r="B221" s="17"/>
      <c r="C221" s="68" t="s">
        <v>273</v>
      </c>
      <c r="D221" s="213">
        <f>Df</f>
        <v>0</v>
      </c>
      <c r="E221" s="79" t="s">
        <v>189</v>
      </c>
      <c r="F221" s="8" t="s">
        <v>274</v>
      </c>
      <c r="G221" s="213">
        <f>γ1</f>
        <v>18</v>
      </c>
      <c r="H221" s="79" t="s">
        <v>275</v>
      </c>
      <c r="I221" s="14"/>
      <c r="J221" s="14"/>
      <c r="K221" s="14"/>
      <c r="L221" s="14"/>
      <c r="M221" s="14"/>
      <c r="N221" s="14"/>
      <c r="O221" s="14"/>
      <c r="P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</row>
    <row r="222" spans="1:93" s="14" customFormat="1" ht="18" customHeight="1">
      <c r="A222" s="246"/>
      <c r="B222" s="86"/>
      <c r="C222" s="8" t="s">
        <v>276</v>
      </c>
      <c r="D222" s="213">
        <f>φ1</f>
        <v>30</v>
      </c>
      <c r="E222" s="103" t="s">
        <v>212</v>
      </c>
      <c r="F222" s="175" t="s">
        <v>277</v>
      </c>
      <c r="G222" s="318">
        <f>cuf</f>
        <v>0</v>
      </c>
      <c r="H222" s="30" t="s">
        <v>278</v>
      </c>
      <c r="I222" s="13"/>
      <c r="J222" s="13"/>
      <c r="K222" s="13"/>
      <c r="L222" s="13"/>
      <c r="M222" s="13"/>
      <c r="N222" s="13"/>
      <c r="O222" s="13"/>
      <c r="P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</row>
    <row r="223" spans="1:30" s="14" customFormat="1" ht="18" customHeight="1">
      <c r="A223" s="246"/>
      <c r="B223" s="17"/>
      <c r="G223" s="110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14" customFormat="1" ht="18" customHeight="1">
      <c r="A224" s="246"/>
      <c r="B224" s="17"/>
      <c r="D224" s="17" t="str">
        <f>"="</f>
        <v>=</v>
      </c>
      <c r="E224" s="144">
        <f>(TAN(PI()/4+D222*PI()/180/2))^2</f>
        <v>2.9999999999999982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19" s="14" customFormat="1" ht="18" customHeight="1">
      <c r="A225" s="246"/>
      <c r="B225" s="17"/>
      <c r="C225" s="17"/>
      <c r="Q225" s="13"/>
      <c r="R225" s="13"/>
      <c r="S225" s="13"/>
    </row>
    <row r="226" spans="1:30" s="14" customFormat="1" ht="18" customHeight="1">
      <c r="A226" s="246"/>
      <c r="B226" s="17"/>
      <c r="C226" s="17"/>
      <c r="E226" s="17" t="str">
        <f>"="</f>
        <v>=</v>
      </c>
      <c r="F226" s="144">
        <f>0.5*γ1*Df^2*E224+2*G222*D221*(E224)^0.5</f>
        <v>0</v>
      </c>
      <c r="G226" s="14" t="s">
        <v>171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19" s="14" customFormat="1" ht="18" customHeight="1">
      <c r="A227" s="246"/>
      <c r="B227" s="17"/>
      <c r="C227" s="17"/>
      <c r="Q227" s="174"/>
      <c r="R227" s="174"/>
      <c r="S227" s="174"/>
    </row>
    <row r="228" spans="1:30" s="14" customFormat="1" ht="18" customHeight="1">
      <c r="A228" s="246"/>
      <c r="B228" s="56"/>
      <c r="C228" s="13"/>
      <c r="D228" s="13"/>
      <c r="E228" s="13"/>
      <c r="F228" s="13"/>
      <c r="G228" s="13"/>
      <c r="H228" s="13"/>
      <c r="Q228" s="15"/>
      <c r="R228" s="15"/>
      <c r="S228" s="15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16" s="14" customFormat="1" ht="18" customHeight="1">
      <c r="A229" s="246"/>
      <c r="B229" s="108" t="s">
        <v>190</v>
      </c>
      <c r="C229" s="13"/>
      <c r="D229" s="13"/>
      <c r="E229" s="174">
        <f>ROUND((D217*μ+F226*0.5)/D218,2)</f>
        <v>1.49</v>
      </c>
      <c r="F229" s="174" t="str">
        <f>IF(E229&gt;G229,"&gt;","&lt;")</f>
        <v>&lt;</v>
      </c>
      <c r="G229" s="180">
        <f>IF(P&gt;0,1.2,IF(Kh&gt;0,1.2,1.5))</f>
        <v>1.5</v>
      </c>
      <c r="H229" s="174" t="str">
        <f>IF(E229&gt;G229,"SAFE","OUT")</f>
        <v>OUT</v>
      </c>
      <c r="I229" s="13"/>
      <c r="J229" s="13"/>
      <c r="K229" s="13"/>
      <c r="L229" s="13"/>
      <c r="M229" s="13"/>
      <c r="N229" s="13"/>
      <c r="O229" s="13"/>
      <c r="P229" s="13"/>
    </row>
    <row r="230" spans="1:30" s="14" customFormat="1" ht="18" customHeight="1">
      <c r="A230" s="246"/>
      <c r="B230" s="13"/>
      <c r="C230" s="58"/>
      <c r="I230" s="13"/>
      <c r="J230" s="13"/>
      <c r="K230" s="13"/>
      <c r="L230" s="13"/>
      <c r="M230" s="13"/>
      <c r="N230" s="13"/>
      <c r="O230" s="13"/>
      <c r="P230" s="13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</row>
    <row r="231" spans="1:93" ht="18" customHeight="1">
      <c r="A231" s="246" t="s">
        <v>443</v>
      </c>
      <c r="B231" s="125"/>
      <c r="C231" s="56"/>
      <c r="I231" s="14"/>
      <c r="J231" s="14"/>
      <c r="K231" s="14"/>
      <c r="L231" s="14"/>
      <c r="M231" s="14"/>
      <c r="N231" s="14"/>
      <c r="O231" s="14"/>
      <c r="P231" s="14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</row>
    <row r="232" spans="1:93" s="14" customFormat="1" ht="18" customHeight="1">
      <c r="A232" s="246"/>
      <c r="B232" s="113" t="s">
        <v>191</v>
      </c>
      <c r="C232" s="58"/>
      <c r="D232" s="58" t="s">
        <v>279</v>
      </c>
      <c r="E232" s="46">
        <f>qd</f>
        <v>900</v>
      </c>
      <c r="F232" s="14" t="s">
        <v>219</v>
      </c>
      <c r="I232" s="13"/>
      <c r="J232" s="13"/>
      <c r="K232" s="13"/>
      <c r="L232" s="13"/>
      <c r="M232" s="13"/>
      <c r="N232" s="13"/>
      <c r="O232" s="13"/>
      <c r="P232" s="13"/>
      <c r="Q232" s="15"/>
      <c r="R232" s="15"/>
      <c r="S232" s="15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</row>
    <row r="233" spans="2:93" ht="18" customHeight="1">
      <c r="B233" s="113" t="s">
        <v>280</v>
      </c>
      <c r="C233" s="56"/>
      <c r="D233" s="56" t="s">
        <v>433</v>
      </c>
      <c r="E233" s="330">
        <f>E190</f>
        <v>256.52</v>
      </c>
      <c r="F233" s="13" t="s">
        <v>216</v>
      </c>
      <c r="I233" s="14"/>
      <c r="J233" s="14"/>
      <c r="K233" s="14"/>
      <c r="L233" s="14"/>
      <c r="M233" s="14"/>
      <c r="N233" s="14"/>
      <c r="O233" s="14"/>
      <c r="P233" s="14"/>
      <c r="Q233" s="15"/>
      <c r="R233" s="15"/>
      <c r="S233" s="15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</row>
    <row r="234" spans="1:93" s="14" customFormat="1" ht="18" customHeight="1">
      <c r="A234" s="246"/>
      <c r="B234" s="13"/>
      <c r="C234" s="58"/>
      <c r="E234" s="110"/>
      <c r="I234" s="13"/>
      <c r="J234" s="13"/>
      <c r="K234" s="13"/>
      <c r="L234" s="13"/>
      <c r="M234" s="13"/>
      <c r="N234" s="13"/>
      <c r="O234" s="13"/>
      <c r="P234" s="13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</row>
    <row r="235" spans="2:93" ht="18" customHeight="1">
      <c r="B235" s="108" t="s">
        <v>192</v>
      </c>
      <c r="C235" s="56"/>
      <c r="E235" s="174">
        <f>ROUND(qd/E190,2)</f>
        <v>3.51</v>
      </c>
      <c r="F235" s="174" t="str">
        <f>IF(E235&gt;G235,"&gt;","&lt;")</f>
        <v>&gt;</v>
      </c>
      <c r="G235" s="180">
        <f>IF(P&gt;0,2,IF(Kh&gt;0,2,3))</f>
        <v>3</v>
      </c>
      <c r="H235" s="174" t="str">
        <f>IF(E235&gt;G235,"SAFE","OUT")</f>
        <v>SAFE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</row>
    <row r="236" spans="1:93" s="14" customFormat="1" ht="18" customHeight="1">
      <c r="A236" s="246"/>
      <c r="B236" s="13"/>
      <c r="C236" s="58"/>
      <c r="F236" s="110"/>
      <c r="G236" s="12"/>
      <c r="I236" s="174"/>
      <c r="J236" s="174"/>
      <c r="K236" s="174"/>
      <c r="L236" s="174"/>
      <c r="M236" s="174"/>
      <c r="N236" s="174"/>
      <c r="O236" s="174"/>
      <c r="P236" s="174"/>
      <c r="Q236" s="13"/>
      <c r="R236" s="13"/>
      <c r="S236" s="13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</row>
    <row r="237" spans="1:93" ht="18" customHeight="1">
      <c r="A237" s="238" t="s">
        <v>464</v>
      </c>
      <c r="B237" s="25"/>
      <c r="C237" s="25"/>
      <c r="D237" s="25"/>
      <c r="E237" s="25"/>
      <c r="F237" s="25"/>
      <c r="G237" s="14"/>
      <c r="H237" s="15"/>
      <c r="I237" s="15"/>
      <c r="J237" s="15"/>
      <c r="K237" s="15"/>
      <c r="L237" s="15"/>
      <c r="M237" s="15"/>
      <c r="N237" s="15"/>
      <c r="O237" s="15"/>
      <c r="P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</row>
    <row r="238" spans="1:93" s="14" customFormat="1" ht="18" customHeight="1">
      <c r="A238" s="248"/>
      <c r="H238" s="15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</row>
    <row r="239" spans="1:93" ht="18" customHeight="1">
      <c r="A239" s="248"/>
      <c r="B239" s="9" t="s">
        <v>57</v>
      </c>
      <c r="C239" s="114" t="s">
        <v>57</v>
      </c>
      <c r="D239" s="114" t="s">
        <v>23</v>
      </c>
      <c r="E239" s="114" t="s">
        <v>24</v>
      </c>
      <c r="F239" s="114" t="s">
        <v>25</v>
      </c>
      <c r="G239" s="114" t="s">
        <v>26</v>
      </c>
      <c r="H239" s="15"/>
      <c r="I239" s="25"/>
      <c r="J239" s="25"/>
      <c r="K239" s="25"/>
      <c r="L239" s="14"/>
      <c r="M239" s="14"/>
      <c r="N239" s="14"/>
      <c r="O239" s="14"/>
      <c r="P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</row>
    <row r="240" spans="1:93" s="14" customFormat="1" ht="18" customHeight="1">
      <c r="A240" s="248"/>
      <c r="B240" s="370" t="s">
        <v>64</v>
      </c>
      <c r="C240" s="6" t="s">
        <v>27</v>
      </c>
      <c r="D240" s="332">
        <f>F187</f>
        <v>0.471</v>
      </c>
      <c r="E240" s="116" t="str">
        <f>IF(D240&gt;=F240,"&gt;","&lt;")</f>
        <v>&lt;</v>
      </c>
      <c r="F240" s="11">
        <f>IF(P&gt;0,B/3,IF(Kh&gt;0,B/3,B/6))</f>
        <v>0.5266666666666667</v>
      </c>
      <c r="G240" s="117" t="str">
        <f>IF($D$240&lt;=$F$240,"SAFE","OUT.")</f>
        <v>SAFE</v>
      </c>
      <c r="I240" s="24"/>
      <c r="J240" s="319"/>
      <c r="K240" s="24"/>
      <c r="L240" s="15"/>
      <c r="M240" s="15"/>
      <c r="N240" s="15"/>
      <c r="O240" s="15"/>
      <c r="P240" s="15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</row>
    <row r="241" spans="1:93" ht="18" customHeight="1">
      <c r="A241" s="248"/>
      <c r="B241" s="371"/>
      <c r="C241" s="5" t="s">
        <v>193</v>
      </c>
      <c r="D241" s="332">
        <f>D214</f>
        <v>3.35</v>
      </c>
      <c r="E241" s="116" t="str">
        <f>IF(D241&gt;=F241,"&gt;","&lt;")</f>
        <v>&gt;</v>
      </c>
      <c r="F241" s="11">
        <f>F214</f>
        <v>3</v>
      </c>
      <c r="G241" s="117" t="str">
        <f>IF(D241&gt;=F241,"SAFE","OUT.")</f>
        <v>SAFE</v>
      </c>
      <c r="H241" s="14"/>
      <c r="I241" s="24"/>
      <c r="J241" s="24"/>
      <c r="K241" s="24"/>
      <c r="L241" s="15"/>
      <c r="M241" s="15"/>
      <c r="N241" s="15"/>
      <c r="O241" s="15"/>
      <c r="P241" s="15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</row>
    <row r="242" spans="1:93" s="14" customFormat="1" ht="18" customHeight="1">
      <c r="A242" s="248"/>
      <c r="B242" s="115" t="s">
        <v>65</v>
      </c>
      <c r="C242" s="5" t="s">
        <v>28</v>
      </c>
      <c r="D242" s="332">
        <f>E229</f>
        <v>1.49</v>
      </c>
      <c r="E242" s="116" t="str">
        <f>IF(D242&gt;=F242,"&gt;","&lt;")</f>
        <v>&lt;</v>
      </c>
      <c r="F242" s="11">
        <f>G229</f>
        <v>1.5</v>
      </c>
      <c r="G242" s="117" t="str">
        <f>IF(D242&gt;=F242,"SAFE","OUT.")</f>
        <v>OUT.</v>
      </c>
      <c r="H242" s="15"/>
      <c r="I242" s="15"/>
      <c r="J242" s="15"/>
      <c r="K242" s="15"/>
      <c r="L242" s="15"/>
      <c r="M242" s="15"/>
      <c r="N242" s="15"/>
      <c r="O242" s="15"/>
      <c r="P242" s="15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</row>
    <row r="243" spans="1:93" ht="18" customHeight="1">
      <c r="A243" s="248"/>
      <c r="B243" s="115" t="s">
        <v>29</v>
      </c>
      <c r="C243" s="5" t="s">
        <v>28</v>
      </c>
      <c r="D243" s="332">
        <f>E235</f>
        <v>3.51</v>
      </c>
      <c r="E243" s="116" t="str">
        <f>IF(D243&gt;=F243,"&gt;","&lt;")</f>
        <v>&gt;</v>
      </c>
      <c r="F243" s="11">
        <f>G235</f>
        <v>3</v>
      </c>
      <c r="G243" s="117" t="str">
        <f>IF(D243&gt;=F243,"SAFE","OUT.")</f>
        <v>SAFE</v>
      </c>
      <c r="H243" s="15"/>
      <c r="I243" s="15"/>
      <c r="J243" s="15"/>
      <c r="K243" s="15"/>
      <c r="L243" s="15"/>
      <c r="M243" s="15"/>
      <c r="N243" s="15"/>
      <c r="O243" s="15"/>
      <c r="P243" s="15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</row>
    <row r="244" spans="1:93" s="14" customFormat="1" ht="18" customHeight="1">
      <c r="A244" s="248"/>
      <c r="B244" s="15"/>
      <c r="C244" s="15"/>
      <c r="D244" s="56"/>
      <c r="E244" s="57"/>
      <c r="F244" s="57"/>
      <c r="G244" s="81"/>
      <c r="H244" s="86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</row>
    <row r="245" spans="1:19" s="14" customFormat="1" ht="18" customHeight="1">
      <c r="A245" s="182" t="s">
        <v>465</v>
      </c>
      <c r="B245" s="61"/>
      <c r="C245" s="61"/>
      <c r="D245" s="58"/>
      <c r="E245" s="12"/>
      <c r="F245" s="15"/>
      <c r="G245" s="15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30" s="14" customFormat="1" ht="18" customHeight="1">
      <c r="A246" s="246" t="s">
        <v>466</v>
      </c>
      <c r="B246" s="61"/>
      <c r="C246" s="61"/>
      <c r="D246" s="58"/>
      <c r="E246" s="12"/>
      <c r="F246" s="15"/>
      <c r="G246" s="15"/>
      <c r="I246" s="13"/>
      <c r="J246" s="13"/>
      <c r="K246" s="13"/>
      <c r="L246" s="13"/>
      <c r="M246" s="13"/>
      <c r="N246" s="13"/>
      <c r="O246" s="13"/>
      <c r="P246" s="13"/>
      <c r="Q246" s="25"/>
      <c r="R246" s="25"/>
      <c r="S246" s="25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19" s="14" customFormat="1" ht="18" customHeight="1">
      <c r="A247" s="248"/>
      <c r="B247" s="15"/>
      <c r="C247" s="15"/>
      <c r="D247" s="56"/>
      <c r="E247" s="57"/>
      <c r="F247" s="61"/>
      <c r="G247" s="61"/>
      <c r="H247" s="61"/>
      <c r="Q247" s="25"/>
      <c r="R247" s="25"/>
      <c r="S247" s="25"/>
    </row>
    <row r="248" spans="1:30" s="14" customFormat="1" ht="18" customHeight="1">
      <c r="A248" s="248"/>
      <c r="B248" s="61"/>
      <c r="C248" s="61"/>
      <c r="D248" s="58"/>
      <c r="E248" s="12"/>
      <c r="F248" s="15"/>
      <c r="G248" s="15"/>
      <c r="H248" s="15"/>
      <c r="I248" s="13"/>
      <c r="J248" s="13"/>
      <c r="K248" s="13"/>
      <c r="L248" s="13"/>
      <c r="M248" s="13"/>
      <c r="N248" s="13"/>
      <c r="O248" s="13"/>
      <c r="P248" s="13"/>
      <c r="Q248" s="20"/>
      <c r="R248" s="20"/>
      <c r="S248" s="20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s="14" customFormat="1" ht="18" customHeight="1">
      <c r="A249" s="248"/>
      <c r="B249" s="15"/>
      <c r="C249" s="15"/>
      <c r="D249" s="56"/>
      <c r="E249" s="57"/>
      <c r="F249" s="61"/>
      <c r="G249" s="61"/>
      <c r="H249" s="61"/>
      <c r="Q249" s="107"/>
      <c r="R249" s="107"/>
      <c r="S249" s="107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14" customFormat="1" ht="18" customHeight="1">
      <c r="A250" s="248"/>
      <c r="B250" s="61"/>
      <c r="C250" s="61"/>
      <c r="D250" s="58"/>
      <c r="E250" s="12"/>
      <c r="F250" s="15"/>
      <c r="G250" s="15"/>
      <c r="H250" s="15"/>
      <c r="I250" s="13"/>
      <c r="J250" s="13"/>
      <c r="K250" s="13"/>
      <c r="L250" s="13"/>
      <c r="M250" s="13"/>
      <c r="N250" s="13"/>
      <c r="O250" s="13"/>
      <c r="P250" s="13"/>
      <c r="Q250" s="4"/>
      <c r="R250" s="4"/>
      <c r="S250" s="4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93" ht="18" customHeight="1">
      <c r="A251" s="248"/>
      <c r="B251" s="15"/>
      <c r="C251" s="15"/>
      <c r="D251" s="56"/>
      <c r="E251" s="57"/>
      <c r="F251" s="61"/>
      <c r="G251" s="61"/>
      <c r="H251" s="61"/>
      <c r="I251" s="14"/>
      <c r="J251" s="14"/>
      <c r="K251" s="14"/>
      <c r="L251" s="14"/>
      <c r="M251" s="14"/>
      <c r="N251" s="14"/>
      <c r="O251" s="14"/>
      <c r="P251" s="14"/>
      <c r="Q251" s="4"/>
      <c r="R251" s="4"/>
      <c r="S251" s="4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</row>
    <row r="252" spans="1:93" s="14" customFormat="1" ht="18" customHeight="1">
      <c r="A252" s="248"/>
      <c r="B252" s="61"/>
      <c r="C252" s="61"/>
      <c r="D252" s="58"/>
      <c r="E252" s="12"/>
      <c r="F252" s="15"/>
      <c r="G252" s="15"/>
      <c r="H252" s="15"/>
      <c r="I252" s="13"/>
      <c r="J252" s="13"/>
      <c r="K252" s="13"/>
      <c r="L252" s="13"/>
      <c r="M252" s="13"/>
      <c r="N252" s="13"/>
      <c r="O252" s="13"/>
      <c r="P252" s="13"/>
      <c r="Q252" s="4"/>
      <c r="R252" s="4"/>
      <c r="S252" s="4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</row>
    <row r="253" spans="1:30" s="14" customFormat="1" ht="18" customHeight="1">
      <c r="A253" s="248"/>
      <c r="B253" s="15"/>
      <c r="C253" s="15"/>
      <c r="D253" s="56"/>
      <c r="E253" s="13"/>
      <c r="F253" s="13"/>
      <c r="G253" s="13"/>
      <c r="H253" s="1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s="14" customFormat="1" ht="18" customHeight="1">
      <c r="A254" s="248"/>
      <c r="B254" s="61"/>
      <c r="C254" s="61"/>
      <c r="D254" s="58"/>
      <c r="E254" s="12"/>
      <c r="F254" s="15"/>
      <c r="G254" s="15"/>
      <c r="H254" s="15"/>
      <c r="I254" s="13"/>
      <c r="J254" s="13"/>
      <c r="K254" s="13"/>
      <c r="L254" s="13"/>
      <c r="M254" s="13"/>
      <c r="N254" s="13"/>
      <c r="O254" s="13"/>
      <c r="P254" s="13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93" ht="18" customHeight="1">
      <c r="A255" s="254"/>
      <c r="B255" s="150" t="s">
        <v>451</v>
      </c>
      <c r="C255" s="66"/>
      <c r="D255" s="66"/>
      <c r="E255" s="66"/>
      <c r="F255" s="66"/>
      <c r="G255" s="66"/>
      <c r="H255" s="66"/>
      <c r="I255" s="25"/>
      <c r="J255" s="25"/>
      <c r="K255" s="25"/>
      <c r="L255" s="25"/>
      <c r="M255" s="25"/>
      <c r="N255" s="25"/>
      <c r="O255" s="25"/>
      <c r="P255" s="25"/>
      <c r="Q255" s="66"/>
      <c r="R255" s="66"/>
      <c r="S255" s="66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</row>
    <row r="256" spans="1:30" ht="18" customHeight="1">
      <c r="A256" s="254"/>
      <c r="B256" s="177" t="s">
        <v>324</v>
      </c>
      <c r="C256" s="66"/>
      <c r="D256" s="66"/>
      <c r="E256" s="66"/>
      <c r="F256" s="66"/>
      <c r="G256" s="66"/>
      <c r="H256" s="66"/>
      <c r="I256" s="25"/>
      <c r="J256" s="25"/>
      <c r="K256" s="25"/>
      <c r="L256" s="25"/>
      <c r="M256" s="25"/>
      <c r="N256" s="25"/>
      <c r="O256" s="25"/>
      <c r="P256" s="25"/>
      <c r="Q256" s="66"/>
      <c r="R256" s="66"/>
      <c r="S256" s="6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8" customHeight="1">
      <c r="A257" s="254"/>
      <c r="B257" s="66"/>
      <c r="C257" s="66"/>
      <c r="D257" s="66"/>
      <c r="E257" s="66"/>
      <c r="F257" s="66"/>
      <c r="G257" s="66"/>
      <c r="H257" s="66"/>
      <c r="I257" s="20"/>
      <c r="J257" s="20"/>
      <c r="K257" s="20"/>
      <c r="L257" s="20"/>
      <c r="M257" s="20"/>
      <c r="N257" s="20"/>
      <c r="O257" s="20"/>
      <c r="P257" s="20"/>
      <c r="Q257" s="66"/>
      <c r="R257" s="66"/>
      <c r="S257" s="66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8" customHeight="1">
      <c r="A258" s="254"/>
      <c r="B258" s="4"/>
      <c r="C258" s="4"/>
      <c r="D258" s="4"/>
      <c r="E258" s="4"/>
      <c r="F258" s="4"/>
      <c r="G258" s="4"/>
      <c r="H258" s="4"/>
      <c r="I258" s="107"/>
      <c r="J258" s="107"/>
      <c r="K258" s="107"/>
      <c r="L258" s="107"/>
      <c r="M258" s="107"/>
      <c r="N258" s="107"/>
      <c r="O258" s="107"/>
      <c r="P258" s="107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</row>
    <row r="259" spans="1:30" ht="18" customHeight="1">
      <c r="A259" s="25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</row>
    <row r="260" spans="1:30" ht="18" customHeight="1">
      <c r="A260" s="25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</row>
    <row r="261" spans="1:30" ht="18" customHeight="1">
      <c r="A261" s="25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</row>
    <row r="262" spans="1:93" s="14" customFormat="1" ht="18" customHeight="1">
      <c r="A262" s="254"/>
      <c r="B262" s="4"/>
      <c r="C262" s="372" t="s">
        <v>308</v>
      </c>
      <c r="D262" s="187" t="s">
        <v>310</v>
      </c>
      <c r="E262" s="188" t="s">
        <v>307</v>
      </c>
      <c r="F262" s="188" t="s">
        <v>311</v>
      </c>
      <c r="G262" s="189" t="s">
        <v>312</v>
      </c>
      <c r="H262" s="4"/>
      <c r="I262" s="4"/>
      <c r="J262" s="4"/>
      <c r="K262" s="4"/>
      <c r="L262" s="4"/>
      <c r="M262" s="4"/>
      <c r="N262" s="4"/>
      <c r="O262" s="4"/>
      <c r="P262" s="4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</row>
    <row r="263" spans="1:30" s="14" customFormat="1" ht="18" customHeight="1">
      <c r="A263" s="254"/>
      <c r="B263" s="4"/>
      <c r="C263" s="373"/>
      <c r="D263" s="198" t="s">
        <v>281</v>
      </c>
      <c r="E263" s="198" t="s">
        <v>282</v>
      </c>
      <c r="F263" s="198" t="s">
        <v>283</v>
      </c>
      <c r="G263" s="199" t="s">
        <v>284</v>
      </c>
      <c r="H263" s="66"/>
      <c r="I263" s="4"/>
      <c r="J263" s="4"/>
      <c r="K263" s="4"/>
      <c r="L263" s="4"/>
      <c r="M263" s="4"/>
      <c r="N263" s="4"/>
      <c r="O263" s="4"/>
      <c r="P263" s="4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</row>
    <row r="264" spans="1:30" s="14" customFormat="1" ht="18" customHeight="1">
      <c r="A264" s="254"/>
      <c r="B264" s="66"/>
      <c r="C264" s="176" t="s">
        <v>194</v>
      </c>
      <c r="D264" s="140" t="s">
        <v>194</v>
      </c>
      <c r="E264" s="140" t="s">
        <v>195</v>
      </c>
      <c r="F264" s="140" t="s">
        <v>195</v>
      </c>
      <c r="G264" s="31" t="s">
        <v>196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</row>
    <row r="265" spans="1:30" s="14" customFormat="1" ht="18" customHeight="1">
      <c r="A265" s="254"/>
      <c r="B265" s="66"/>
      <c r="C265" s="200">
        <f>0</f>
        <v>0</v>
      </c>
      <c r="D265" s="183">
        <f>bu+(n+nb)*C265</f>
        <v>0.4</v>
      </c>
      <c r="E265" s="183">
        <f>γc/2*(2*bu+(n+nb)*C265)*C265</f>
        <v>0</v>
      </c>
      <c r="F265" s="183">
        <f>Kh*E265</f>
        <v>0</v>
      </c>
      <c r="G265" s="184">
        <f>(2*bu+D265)/(bu+D265)*(F265*C265/3-C265/6*(n-nb)*E265)</f>
        <v>0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</row>
    <row r="266" spans="1:30" s="14" customFormat="1" ht="18" customHeight="1">
      <c r="A266" s="254"/>
      <c r="B266" s="66"/>
      <c r="C266" s="200">
        <f aca="true" t="shared" si="31" ref="C266:C285">C265+Ha/20</f>
        <v>0.45999999999999996</v>
      </c>
      <c r="D266" s="183">
        <f aca="true" t="shared" si="32" ref="D266:D285">bu+(n+nb)*C266</f>
        <v>0.538</v>
      </c>
      <c r="E266" s="183">
        <f>γc/2*(2*bu+(n+nb)*C266)*C266</f>
        <v>4.96202</v>
      </c>
      <c r="F266" s="183">
        <f aca="true" t="shared" si="33" ref="F266:F285">Kh*E266</f>
        <v>0</v>
      </c>
      <c r="G266" s="184">
        <f aca="true" t="shared" si="34" ref="G266:G274">(2*bu+D266)/(bu+D266)*(F266*C266/3-C266/6*(n-nb)*E266)</f>
        <v>-0.27132409999999996</v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</row>
    <row r="267" spans="1:30" s="14" customFormat="1" ht="18" customHeight="1">
      <c r="A267" s="254"/>
      <c r="B267" s="66"/>
      <c r="C267" s="200">
        <f t="shared" si="31"/>
        <v>0.9199999999999999</v>
      </c>
      <c r="D267" s="183">
        <f t="shared" si="32"/>
        <v>0.676</v>
      </c>
      <c r="E267" s="183">
        <f aca="true" t="shared" si="35" ref="E267:E277">γc/2*(2*bu+(n+nb)*C267)*C267</f>
        <v>11.384079999999999</v>
      </c>
      <c r="F267" s="183">
        <f t="shared" si="33"/>
        <v>0</v>
      </c>
      <c r="G267" s="184">
        <f t="shared" si="34"/>
        <v>-1.1972327999999997</v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</row>
    <row r="268" spans="1:30" s="14" customFormat="1" ht="18" customHeight="1">
      <c r="A268" s="254"/>
      <c r="B268" s="66"/>
      <c r="C268" s="200">
        <f t="shared" si="31"/>
        <v>1.38</v>
      </c>
      <c r="D268" s="183">
        <f t="shared" si="32"/>
        <v>0.8140000000000001</v>
      </c>
      <c r="E268" s="183">
        <f t="shared" si="35"/>
        <v>19.26618</v>
      </c>
      <c r="F268" s="183">
        <f t="shared" si="33"/>
        <v>0</v>
      </c>
      <c r="G268" s="184">
        <f t="shared" si="34"/>
        <v>-2.9456306999999997</v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</row>
    <row r="269" spans="1:30" s="14" customFormat="1" ht="18" customHeight="1">
      <c r="A269" s="254"/>
      <c r="B269" s="66"/>
      <c r="C269" s="200">
        <f t="shared" si="31"/>
        <v>1.8399999999999999</v>
      </c>
      <c r="D269" s="183">
        <f t="shared" si="32"/>
        <v>0.9520000000000001</v>
      </c>
      <c r="E269" s="183">
        <f t="shared" si="35"/>
        <v>28.608320000000003</v>
      </c>
      <c r="F269" s="183">
        <f t="shared" si="33"/>
        <v>0</v>
      </c>
      <c r="G269" s="184">
        <f t="shared" si="34"/>
        <v>-5.684422400000001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</row>
    <row r="270" spans="1:30" s="14" customFormat="1" ht="18" customHeight="1">
      <c r="A270" s="254"/>
      <c r="B270" s="66"/>
      <c r="C270" s="200">
        <f t="shared" si="31"/>
        <v>2.3</v>
      </c>
      <c r="D270" s="183">
        <f t="shared" si="32"/>
        <v>1.09</v>
      </c>
      <c r="E270" s="183">
        <f t="shared" si="35"/>
        <v>39.4105</v>
      </c>
      <c r="F270" s="183">
        <f t="shared" si="33"/>
        <v>0</v>
      </c>
      <c r="G270" s="184">
        <f t="shared" si="34"/>
        <v>-9.581512499999999</v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</row>
    <row r="271" spans="1:30" s="14" customFormat="1" ht="18" customHeight="1">
      <c r="A271" s="254"/>
      <c r="B271" s="66"/>
      <c r="C271" s="200">
        <f t="shared" si="31"/>
        <v>2.76</v>
      </c>
      <c r="D271" s="183">
        <f t="shared" si="32"/>
        <v>1.2280000000000002</v>
      </c>
      <c r="E271" s="183">
        <f t="shared" si="35"/>
        <v>51.67272</v>
      </c>
      <c r="F271" s="183">
        <f t="shared" si="33"/>
        <v>0</v>
      </c>
      <c r="G271" s="184">
        <f t="shared" si="34"/>
        <v>-14.804805600000002</v>
      </c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</row>
    <row r="272" spans="1:30" s="14" customFormat="1" ht="18" customHeight="1">
      <c r="A272" s="254"/>
      <c r="B272" s="66"/>
      <c r="C272" s="200">
        <f t="shared" si="31"/>
        <v>3.2199999999999998</v>
      </c>
      <c r="D272" s="183">
        <f t="shared" si="32"/>
        <v>1.366</v>
      </c>
      <c r="E272" s="183">
        <f t="shared" si="35"/>
        <v>65.39498</v>
      </c>
      <c r="F272" s="183">
        <f t="shared" si="33"/>
        <v>0</v>
      </c>
      <c r="G272" s="184">
        <f t="shared" si="34"/>
        <v>-21.522206300000008</v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</row>
    <row r="273" spans="1:30" s="14" customFormat="1" ht="18" customHeight="1">
      <c r="A273" s="254"/>
      <c r="B273" s="66"/>
      <c r="C273" s="200">
        <f t="shared" si="31"/>
        <v>3.6799999999999997</v>
      </c>
      <c r="D273" s="183">
        <f t="shared" si="32"/>
        <v>1.504</v>
      </c>
      <c r="E273" s="183">
        <f t="shared" si="35"/>
        <v>80.57728</v>
      </c>
      <c r="F273" s="183">
        <f t="shared" si="33"/>
        <v>0</v>
      </c>
      <c r="G273" s="184">
        <f t="shared" si="34"/>
        <v>-29.901619200000003</v>
      </c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</row>
    <row r="274" spans="1:30" s="14" customFormat="1" ht="18" customHeight="1">
      <c r="A274" s="254"/>
      <c r="B274" s="66"/>
      <c r="C274" s="200">
        <f t="shared" si="31"/>
        <v>4.14</v>
      </c>
      <c r="D274" s="183">
        <f t="shared" si="32"/>
        <v>1.642</v>
      </c>
      <c r="E274" s="183">
        <f t="shared" si="35"/>
        <v>97.21961999999998</v>
      </c>
      <c r="F274" s="183">
        <f t="shared" si="33"/>
        <v>0</v>
      </c>
      <c r="G274" s="184">
        <f t="shared" si="34"/>
        <v>-40.11094889999999</v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</row>
    <row r="275" spans="1:30" s="14" customFormat="1" ht="18" customHeight="1">
      <c r="A275" s="254"/>
      <c r="B275" s="66"/>
      <c r="C275" s="200">
        <f t="shared" si="31"/>
        <v>4.6</v>
      </c>
      <c r="D275" s="183">
        <f t="shared" si="32"/>
        <v>1.7800000000000002</v>
      </c>
      <c r="E275" s="183">
        <f t="shared" si="35"/>
        <v>115.32199999999999</v>
      </c>
      <c r="F275" s="183">
        <f t="shared" si="33"/>
        <v>0</v>
      </c>
      <c r="G275" s="184">
        <f>(2*bu+D275)/(bu+D275)*(F275*C275/3-C275/6*(n-nb)*E275)</f>
        <v>-52.318099999999994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</row>
    <row r="276" spans="1:30" s="14" customFormat="1" ht="18" customHeight="1">
      <c r="A276" s="254"/>
      <c r="B276" s="66"/>
      <c r="C276" s="200">
        <f t="shared" si="31"/>
        <v>5.06</v>
      </c>
      <c r="D276" s="183">
        <f t="shared" si="32"/>
        <v>1.9180000000000001</v>
      </c>
      <c r="E276" s="183">
        <f t="shared" si="35"/>
        <v>134.88441999999998</v>
      </c>
      <c r="F276" s="183">
        <f t="shared" si="33"/>
        <v>0</v>
      </c>
      <c r="G276" s="184">
        <f>(2*bu+D276)/(bu+D276)*(F276*C276/3-C276/6*(n-nb)*E276)</f>
        <v>-66.69097709999998</v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</row>
    <row r="277" spans="1:30" s="14" customFormat="1" ht="18" customHeight="1">
      <c r="A277" s="254"/>
      <c r="B277" s="66"/>
      <c r="C277" s="200">
        <f t="shared" si="31"/>
        <v>5.52</v>
      </c>
      <c r="D277" s="183">
        <f t="shared" si="32"/>
        <v>2.056</v>
      </c>
      <c r="E277" s="183">
        <f t="shared" si="35"/>
        <v>155.90688</v>
      </c>
      <c r="F277" s="183">
        <f t="shared" si="33"/>
        <v>0</v>
      </c>
      <c r="G277" s="184">
        <f aca="true" t="shared" si="36" ref="G277:G285">(2*bu+D277)/(bu+D277)*(F277*C277/3-C277/6*(n-nb)*E277)</f>
        <v>-83.3974848</v>
      </c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</row>
    <row r="278" spans="1:30" s="14" customFormat="1" ht="18" customHeight="1">
      <c r="A278" s="254"/>
      <c r="B278" s="66"/>
      <c r="C278" s="200">
        <f t="shared" si="31"/>
        <v>5.9799999999999995</v>
      </c>
      <c r="D278" s="183">
        <f t="shared" si="32"/>
        <v>2.194</v>
      </c>
      <c r="E278" s="183">
        <f aca="true" t="shared" si="37" ref="E278:E285">γc/2*(2*bu+(n+nb)*C278)*C278</f>
        <v>178.38938000000002</v>
      </c>
      <c r="F278" s="183">
        <f t="shared" si="33"/>
        <v>0</v>
      </c>
      <c r="G278" s="184">
        <f t="shared" si="36"/>
        <v>-102.6055277</v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</row>
    <row r="279" spans="1:30" s="14" customFormat="1" ht="18" customHeight="1">
      <c r="A279" s="254"/>
      <c r="B279" s="66"/>
      <c r="C279" s="200">
        <f t="shared" si="31"/>
        <v>6.4399999999999995</v>
      </c>
      <c r="D279" s="183">
        <f t="shared" si="32"/>
        <v>2.3320000000000003</v>
      </c>
      <c r="E279" s="183">
        <f t="shared" si="37"/>
        <v>202.33192</v>
      </c>
      <c r="F279" s="183">
        <f t="shared" si="33"/>
        <v>0</v>
      </c>
      <c r="G279" s="184">
        <f t="shared" si="36"/>
        <v>-124.4830104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</row>
    <row r="280" spans="1:30" s="14" customFormat="1" ht="18" customHeight="1">
      <c r="A280" s="254"/>
      <c r="B280" s="66"/>
      <c r="C280" s="200">
        <f t="shared" si="31"/>
        <v>6.8999999999999995</v>
      </c>
      <c r="D280" s="183">
        <f t="shared" si="32"/>
        <v>2.47</v>
      </c>
      <c r="E280" s="183">
        <f t="shared" si="37"/>
        <v>227.7345</v>
      </c>
      <c r="F280" s="183">
        <f t="shared" si="33"/>
        <v>0</v>
      </c>
      <c r="G280" s="184">
        <f t="shared" si="36"/>
        <v>-149.1978375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</row>
    <row r="281" spans="1:30" s="14" customFormat="1" ht="18" customHeight="1">
      <c r="A281" s="254"/>
      <c r="B281" s="66"/>
      <c r="C281" s="200">
        <f t="shared" si="31"/>
        <v>7.359999999999999</v>
      </c>
      <c r="D281" s="183">
        <f t="shared" si="32"/>
        <v>2.608</v>
      </c>
      <c r="E281" s="183">
        <f t="shared" si="37"/>
        <v>254.59711999999996</v>
      </c>
      <c r="F281" s="183">
        <f t="shared" si="33"/>
        <v>0</v>
      </c>
      <c r="G281" s="184">
        <f t="shared" si="36"/>
        <v>-176.91791359999996</v>
      </c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</row>
    <row r="282" spans="1:30" s="14" customFormat="1" ht="18" customHeight="1">
      <c r="A282" s="254"/>
      <c r="B282" s="66"/>
      <c r="C282" s="200">
        <f t="shared" si="31"/>
        <v>7.819999999999999</v>
      </c>
      <c r="D282" s="183">
        <f t="shared" si="32"/>
        <v>2.746</v>
      </c>
      <c r="E282" s="183">
        <f t="shared" si="37"/>
        <v>282.91978</v>
      </c>
      <c r="F282" s="183">
        <f t="shared" si="33"/>
        <v>0</v>
      </c>
      <c r="G282" s="184">
        <f t="shared" si="36"/>
        <v>-207.8111433</v>
      </c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</row>
    <row r="283" spans="1:30" s="14" customFormat="1" ht="18" customHeight="1">
      <c r="A283" s="254"/>
      <c r="B283" s="66"/>
      <c r="C283" s="200">
        <f t="shared" si="31"/>
        <v>8.28</v>
      </c>
      <c r="D283" s="183">
        <f t="shared" si="32"/>
        <v>2.884</v>
      </c>
      <c r="E283" s="183">
        <f t="shared" si="37"/>
        <v>312.70248</v>
      </c>
      <c r="F283" s="183">
        <f t="shared" si="33"/>
        <v>0</v>
      </c>
      <c r="G283" s="184">
        <f t="shared" si="36"/>
        <v>-242.0454312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</row>
    <row r="284" spans="1:30" s="14" customFormat="1" ht="18" customHeight="1">
      <c r="A284" s="254"/>
      <c r="B284" s="66"/>
      <c r="C284" s="200">
        <f t="shared" si="31"/>
        <v>8.739999999999998</v>
      </c>
      <c r="D284" s="183">
        <f t="shared" si="32"/>
        <v>3.022</v>
      </c>
      <c r="E284" s="183">
        <f t="shared" si="37"/>
        <v>343.9452199999999</v>
      </c>
      <c r="F284" s="183">
        <f t="shared" si="33"/>
        <v>0</v>
      </c>
      <c r="G284" s="184">
        <f t="shared" si="36"/>
        <v>-279.78868189999986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</row>
    <row r="285" spans="1:30" s="14" customFormat="1" ht="18" customHeight="1">
      <c r="A285" s="254"/>
      <c r="B285" s="66"/>
      <c r="C285" s="201">
        <f t="shared" si="31"/>
        <v>9.2</v>
      </c>
      <c r="D285" s="185">
        <f t="shared" si="32"/>
        <v>3.16</v>
      </c>
      <c r="E285" s="185">
        <f t="shared" si="37"/>
        <v>376.648</v>
      </c>
      <c r="F285" s="185">
        <f t="shared" si="33"/>
        <v>0</v>
      </c>
      <c r="G285" s="186">
        <f t="shared" si="36"/>
        <v>-321.2088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</row>
    <row r="286" spans="1:30" s="14" customFormat="1" ht="18" customHeight="1">
      <c r="A286" s="254"/>
      <c r="B286" s="177" t="s">
        <v>325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</row>
    <row r="287" spans="1:30" s="14" customFormat="1" ht="18" customHeight="1">
      <c r="A287" s="254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4"/>
      <c r="R287" s="4"/>
      <c r="S287" s="4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</row>
    <row r="288" spans="1:30" s="14" customFormat="1" ht="18" customHeight="1">
      <c r="A288" s="254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</row>
    <row r="289" spans="1:30" s="14" customFormat="1" ht="18" customHeight="1">
      <c r="A289" s="254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</row>
    <row r="290" spans="1:30" s="14" customFormat="1" ht="18" customHeight="1">
      <c r="A290" s="254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s="14" customFormat="1" ht="18" customHeight="1">
      <c r="A291" s="254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4"/>
      <c r="R291" s="4"/>
      <c r="S291" s="4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</row>
    <row r="292" spans="1:30" s="14" customFormat="1" ht="18" customHeight="1">
      <c r="A292" s="254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4"/>
      <c r="R292" s="4"/>
      <c r="S292" s="4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</row>
    <row r="293" spans="1:30" s="14" customFormat="1" ht="18" customHeight="1">
      <c r="A293" s="254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s="14" customFormat="1" ht="18" customHeight="1">
      <c r="A294" s="254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93" ht="18" customHeight="1">
      <c r="A295" s="254"/>
      <c r="B295" s="66"/>
      <c r="C295" s="151" t="s">
        <v>285</v>
      </c>
      <c r="D295" s="4"/>
      <c r="E295" s="4"/>
      <c r="F295" s="4"/>
      <c r="G295" s="4"/>
      <c r="H295" s="4"/>
      <c r="I295" s="66"/>
      <c r="J295" s="66"/>
      <c r="K295" s="66"/>
      <c r="L295" s="66"/>
      <c r="M295" s="66"/>
      <c r="N295" s="66"/>
      <c r="O295" s="66"/>
      <c r="P295" s="66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</row>
    <row r="296" spans="1:93" s="14" customFormat="1" ht="18" customHeight="1">
      <c r="A296" s="254"/>
      <c r="B296" s="4"/>
      <c r="C296" s="179" t="s">
        <v>286</v>
      </c>
      <c r="D296" s="152">
        <f>KA</f>
        <v>0.25854</v>
      </c>
      <c r="E296" s="66"/>
      <c r="F296" s="66"/>
      <c r="G296" s="66"/>
      <c r="H296" s="6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</row>
    <row r="297" spans="1:30" s="14" customFormat="1" ht="18" customHeight="1">
      <c r="A297" s="254"/>
      <c r="B297" s="66"/>
      <c r="C297" s="376" t="s">
        <v>309</v>
      </c>
      <c r="D297" s="188" t="s">
        <v>310</v>
      </c>
      <c r="E297" s="188" t="s">
        <v>313</v>
      </c>
      <c r="F297" s="188" t="s">
        <v>307</v>
      </c>
      <c r="G297" s="188" t="s">
        <v>311</v>
      </c>
      <c r="H297" s="189" t="s">
        <v>312</v>
      </c>
      <c r="I297" s="66"/>
      <c r="J297" s="66"/>
      <c r="K297" s="66"/>
      <c r="L297" s="66"/>
      <c r="M297" s="66"/>
      <c r="N297" s="66"/>
      <c r="O297" s="66"/>
      <c r="P297" s="66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93" ht="18" customHeight="1">
      <c r="A298" s="254"/>
      <c r="B298" s="66"/>
      <c r="C298" s="377"/>
      <c r="D298" s="195" t="s">
        <v>287</v>
      </c>
      <c r="E298" s="195" t="s">
        <v>288</v>
      </c>
      <c r="F298" s="195" t="s">
        <v>289</v>
      </c>
      <c r="G298" s="195" t="s">
        <v>290</v>
      </c>
      <c r="H298" s="196" t="s">
        <v>291</v>
      </c>
      <c r="I298" s="66"/>
      <c r="J298" s="66"/>
      <c r="K298" s="66"/>
      <c r="L298" s="66"/>
      <c r="M298" s="66"/>
      <c r="N298" s="66"/>
      <c r="O298" s="66"/>
      <c r="P298" s="66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</row>
    <row r="299" spans="1:30" ht="18" customHeight="1">
      <c r="A299" s="254"/>
      <c r="B299" s="4"/>
      <c r="C299" s="192" t="s">
        <v>197</v>
      </c>
      <c r="D299" s="197" t="s">
        <v>197</v>
      </c>
      <c r="E299" s="72" t="s">
        <v>198</v>
      </c>
      <c r="F299" s="197" t="s">
        <v>198</v>
      </c>
      <c r="G299" s="197" t="s">
        <v>198</v>
      </c>
      <c r="H299" s="73" t="s">
        <v>199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8" customHeight="1">
      <c r="A300" s="254"/>
      <c r="B300" s="4"/>
      <c r="C300" s="202">
        <f>0</f>
        <v>0</v>
      </c>
      <c r="D300" s="190">
        <f>bu+(n+nb)*C300</f>
        <v>0.4</v>
      </c>
      <c r="E300" s="190">
        <f>0.5*γs*C300^2*KA</f>
        <v>0</v>
      </c>
      <c r="F300" s="190">
        <f>E300*SIN(α+δu)</f>
        <v>0</v>
      </c>
      <c r="G300" s="190">
        <f>E300*COS(α+δu)</f>
        <v>0</v>
      </c>
      <c r="H300" s="191">
        <f aca="true" t="shared" si="38" ref="H300:H305">G300*C300/3-(D300/2-C300/3*nb)*F300</f>
        <v>0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8" customHeight="1">
      <c r="A301" s="254"/>
      <c r="B301" s="4"/>
      <c r="C301" s="202">
        <f aca="true" t="shared" si="39" ref="C301:C320">C300+Ha/20</f>
        <v>0.45999999999999996</v>
      </c>
      <c r="D301" s="190">
        <f aca="true" t="shared" si="40" ref="D301:D320">bu+(n+nb)*C301</f>
        <v>0.538</v>
      </c>
      <c r="E301" s="190">
        <f aca="true" t="shared" si="41" ref="E301:E307">0.5*γs*C301^2*KA</f>
        <v>0.5197171079999999</v>
      </c>
      <c r="F301" s="190">
        <f aca="true" t="shared" si="42" ref="F301:F320">E301*SIN(α+δu)</f>
        <v>0.12827649962916093</v>
      </c>
      <c r="G301" s="190">
        <f aca="true" t="shared" si="43" ref="G301:G307">E301*COS(α+δu)</f>
        <v>0.5036377785579369</v>
      </c>
      <c r="H301" s="191">
        <f t="shared" si="38"/>
        <v>0.04075117465099223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8" customHeight="1">
      <c r="A302" s="254"/>
      <c r="B302" s="4"/>
      <c r="C302" s="202">
        <f t="shared" si="39"/>
        <v>0.9199999999999999</v>
      </c>
      <c r="D302" s="190">
        <f t="shared" si="40"/>
        <v>0.676</v>
      </c>
      <c r="E302" s="190">
        <f t="shared" si="41"/>
        <v>2.0788684319999997</v>
      </c>
      <c r="F302" s="190">
        <f t="shared" si="42"/>
        <v>0.5131059985166437</v>
      </c>
      <c r="G302" s="190">
        <f t="shared" si="43"/>
        <v>2.0145511142317476</v>
      </c>
      <c r="H302" s="191">
        <f t="shared" si="38"/>
        <v>0.4286305969112666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8" customHeight="1">
      <c r="A303" s="254"/>
      <c r="B303" s="4"/>
      <c r="C303" s="202">
        <f t="shared" si="39"/>
        <v>1.38</v>
      </c>
      <c r="D303" s="190">
        <f t="shared" si="40"/>
        <v>0.8140000000000001</v>
      </c>
      <c r="E303" s="190">
        <f t="shared" si="41"/>
        <v>4.677453971999999</v>
      </c>
      <c r="F303" s="190">
        <f t="shared" si="42"/>
        <v>1.1544884966624482</v>
      </c>
      <c r="G303" s="190">
        <f t="shared" si="43"/>
        <v>4.532740007021431</v>
      </c>
      <c r="H303" s="191">
        <f t="shared" si="38"/>
        <v>1.5620771142417693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8" customHeight="1">
      <c r="A304" s="254"/>
      <c r="B304" s="4"/>
      <c r="C304" s="202">
        <f t="shared" si="39"/>
        <v>1.8399999999999999</v>
      </c>
      <c r="D304" s="190">
        <f t="shared" si="40"/>
        <v>0.9520000000000001</v>
      </c>
      <c r="E304" s="190">
        <f t="shared" si="41"/>
        <v>8.315473727999999</v>
      </c>
      <c r="F304" s="190">
        <f t="shared" si="42"/>
        <v>2.052423994066575</v>
      </c>
      <c r="G304" s="190">
        <f t="shared" si="43"/>
        <v>8.05820445692699</v>
      </c>
      <c r="H304" s="191">
        <f t="shared" si="38"/>
        <v>3.8395295741034476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8" customHeight="1">
      <c r="A305" s="254"/>
      <c r="B305" s="4"/>
      <c r="C305" s="202">
        <f t="shared" si="39"/>
        <v>2.3</v>
      </c>
      <c r="D305" s="190">
        <f t="shared" si="40"/>
        <v>1.09</v>
      </c>
      <c r="E305" s="190">
        <f t="shared" si="41"/>
        <v>12.9929277</v>
      </c>
      <c r="F305" s="190">
        <f t="shared" si="42"/>
        <v>3.206912490729023</v>
      </c>
      <c r="G305" s="190">
        <f t="shared" si="43"/>
        <v>12.590944463948423</v>
      </c>
      <c r="H305" s="191">
        <f t="shared" si="38"/>
        <v>7.659426823957247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8" customHeight="1">
      <c r="A306" s="254"/>
      <c r="B306" s="4"/>
      <c r="C306" s="202">
        <f t="shared" si="39"/>
        <v>2.76</v>
      </c>
      <c r="D306" s="190">
        <f t="shared" si="40"/>
        <v>1.2280000000000002</v>
      </c>
      <c r="E306" s="190">
        <f t="shared" si="41"/>
        <v>18.709815887999994</v>
      </c>
      <c r="F306" s="190">
        <f t="shared" si="42"/>
        <v>4.617953986649793</v>
      </c>
      <c r="G306" s="190">
        <f t="shared" si="43"/>
        <v>18.130960028085724</v>
      </c>
      <c r="H306" s="191">
        <f aca="true" t="shared" si="44" ref="H306:H320">G306*C306/3-(D306/2-C306/3*nb)*F306</f>
        <v>13.420207711264112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8" customHeight="1">
      <c r="A307" s="254"/>
      <c r="B307" s="4"/>
      <c r="C307" s="202">
        <f t="shared" si="39"/>
        <v>3.2199999999999998</v>
      </c>
      <c r="D307" s="190">
        <f t="shared" si="40"/>
        <v>1.366</v>
      </c>
      <c r="E307" s="190">
        <f t="shared" si="41"/>
        <v>25.466138291999993</v>
      </c>
      <c r="F307" s="190">
        <f t="shared" si="42"/>
        <v>6.285548481828885</v>
      </c>
      <c r="G307" s="190">
        <f t="shared" si="43"/>
        <v>24.6782511493389</v>
      </c>
      <c r="H307" s="191">
        <f t="shared" si="44"/>
        <v>21.52031108348499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8" customHeight="1">
      <c r="A308" s="254"/>
      <c r="B308" s="4"/>
      <c r="C308" s="202">
        <f t="shared" si="39"/>
        <v>3.6799999999999997</v>
      </c>
      <c r="D308" s="190">
        <f t="shared" si="40"/>
        <v>1.504</v>
      </c>
      <c r="E308" s="190">
        <f aca="true" t="shared" si="45" ref="E308:E320">0.5*γs*C308^2*KA</f>
        <v>33.261894911999995</v>
      </c>
      <c r="F308" s="190">
        <f t="shared" si="42"/>
        <v>8.2096959762663</v>
      </c>
      <c r="G308" s="190">
        <f aca="true" t="shared" si="46" ref="G308:G320">E308*COS(α+δu)</f>
        <v>32.23281782770796</v>
      </c>
      <c r="H308" s="191">
        <f t="shared" si="44"/>
        <v>32.35817578808084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8" customHeight="1">
      <c r="A309" s="254"/>
      <c r="B309" s="4"/>
      <c r="C309" s="202">
        <f t="shared" si="39"/>
        <v>4.14</v>
      </c>
      <c r="D309" s="190">
        <f t="shared" si="40"/>
        <v>1.642</v>
      </c>
      <c r="E309" s="190">
        <f t="shared" si="45"/>
        <v>42.09708574799999</v>
      </c>
      <c r="F309" s="190">
        <f t="shared" si="42"/>
        <v>10.390396469962035</v>
      </c>
      <c r="G309" s="190">
        <f t="shared" si="46"/>
        <v>40.794660063192886</v>
      </c>
      <c r="H309" s="191">
        <f t="shared" si="44"/>
        <v>46.3322406725126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8" customHeight="1">
      <c r="A310" s="254"/>
      <c r="B310" s="4"/>
      <c r="C310" s="202">
        <f t="shared" si="39"/>
        <v>4.6</v>
      </c>
      <c r="D310" s="190">
        <f t="shared" si="40"/>
        <v>1.7800000000000002</v>
      </c>
      <c r="E310" s="190">
        <f t="shared" si="45"/>
        <v>51.9717108</v>
      </c>
      <c r="F310" s="190">
        <f t="shared" si="42"/>
        <v>12.827649962916093</v>
      </c>
      <c r="G310" s="190">
        <f t="shared" si="46"/>
        <v>50.36377785579369</v>
      </c>
      <c r="H310" s="191">
        <f t="shared" si="44"/>
        <v>63.84094458424119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8" customHeight="1">
      <c r="A311" s="254"/>
      <c r="B311" s="4"/>
      <c r="C311" s="202">
        <f t="shared" si="39"/>
        <v>5.06</v>
      </c>
      <c r="D311" s="190">
        <f t="shared" si="40"/>
        <v>1.9180000000000001</v>
      </c>
      <c r="E311" s="190">
        <f t="shared" si="45"/>
        <v>62.885770067999985</v>
      </c>
      <c r="F311" s="190">
        <f t="shared" si="42"/>
        <v>15.52145645512847</v>
      </c>
      <c r="G311" s="190">
        <f t="shared" si="46"/>
        <v>60.94017120551035</v>
      </c>
      <c r="H311" s="191">
        <f t="shared" si="44"/>
        <v>85.28272637072759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8" customHeight="1">
      <c r="A312" s="254"/>
      <c r="B312" s="4"/>
      <c r="C312" s="202">
        <f t="shared" si="39"/>
        <v>5.52</v>
      </c>
      <c r="D312" s="190">
        <f t="shared" si="40"/>
        <v>2.056</v>
      </c>
      <c r="E312" s="190">
        <f t="shared" si="45"/>
        <v>74.83926355199998</v>
      </c>
      <c r="F312" s="190">
        <f t="shared" si="42"/>
        <v>18.471815946599172</v>
      </c>
      <c r="G312" s="190">
        <f t="shared" si="46"/>
        <v>72.5238401123429</v>
      </c>
      <c r="H312" s="191">
        <f t="shared" si="44"/>
        <v>111.05602487943274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8" customHeight="1">
      <c r="A313" s="254"/>
      <c r="B313" s="4"/>
      <c r="C313" s="202">
        <f t="shared" si="39"/>
        <v>5.9799999999999995</v>
      </c>
      <c r="D313" s="190">
        <f t="shared" si="40"/>
        <v>2.194</v>
      </c>
      <c r="E313" s="190">
        <f t="shared" si="45"/>
        <v>87.83219125199999</v>
      </c>
      <c r="F313" s="190">
        <f t="shared" si="42"/>
        <v>21.678728437328196</v>
      </c>
      <c r="G313" s="190">
        <f t="shared" si="46"/>
        <v>85.11478457629133</v>
      </c>
      <c r="H313" s="191">
        <f t="shared" si="44"/>
        <v>141.55927895781758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8" customHeight="1">
      <c r="A314" s="254"/>
      <c r="C314" s="202">
        <f t="shared" si="39"/>
        <v>6.4399999999999995</v>
      </c>
      <c r="D314" s="190">
        <f t="shared" si="40"/>
        <v>2.3320000000000003</v>
      </c>
      <c r="E314" s="190">
        <f t="shared" si="45"/>
        <v>101.86455316799997</v>
      </c>
      <c r="F314" s="190">
        <f t="shared" si="42"/>
        <v>25.14219392731554</v>
      </c>
      <c r="G314" s="190">
        <f t="shared" si="46"/>
        <v>98.7130045973556</v>
      </c>
      <c r="H314" s="191">
        <f t="shared" si="44"/>
        <v>177.19092745334302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8" customHeight="1">
      <c r="A315" s="254"/>
      <c r="B315" s="4"/>
      <c r="C315" s="202">
        <f t="shared" si="39"/>
        <v>6.8999999999999995</v>
      </c>
      <c r="D315" s="190">
        <f t="shared" si="40"/>
        <v>2.47</v>
      </c>
      <c r="E315" s="190">
        <f t="shared" si="45"/>
        <v>116.93634929999997</v>
      </c>
      <c r="F315" s="190">
        <f t="shared" si="42"/>
        <v>28.862212416561206</v>
      </c>
      <c r="G315" s="190">
        <f t="shared" si="46"/>
        <v>113.31850017553579</v>
      </c>
      <c r="H315" s="191">
        <f t="shared" si="44"/>
        <v>218.34940921347012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8" customHeight="1">
      <c r="A316" s="254"/>
      <c r="B316" s="4"/>
      <c r="C316" s="202">
        <f t="shared" si="39"/>
        <v>7.359999999999999</v>
      </c>
      <c r="D316" s="190">
        <f t="shared" si="40"/>
        <v>2.608</v>
      </c>
      <c r="E316" s="190">
        <f t="shared" si="45"/>
        <v>133.04757964799998</v>
      </c>
      <c r="F316" s="190">
        <f t="shared" si="42"/>
        <v>32.8387839050652</v>
      </c>
      <c r="G316" s="190">
        <f t="shared" si="46"/>
        <v>128.93127131083185</v>
      </c>
      <c r="H316" s="191">
        <f t="shared" si="44"/>
        <v>265.43316308565977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8" customHeight="1">
      <c r="A317" s="254"/>
      <c r="B317" s="4"/>
      <c r="C317" s="202">
        <f t="shared" si="39"/>
        <v>7.819999999999999</v>
      </c>
      <c r="D317" s="190">
        <f t="shared" si="40"/>
        <v>2.746</v>
      </c>
      <c r="E317" s="190">
        <f t="shared" si="45"/>
        <v>150.19824421199996</v>
      </c>
      <c r="F317" s="190">
        <f t="shared" si="42"/>
        <v>37.0719083928275</v>
      </c>
      <c r="G317" s="190">
        <f t="shared" si="46"/>
        <v>145.55131800324375</v>
      </c>
      <c r="H317" s="191">
        <f t="shared" si="44"/>
        <v>318.84062791737284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8" customHeight="1">
      <c r="A318" s="254"/>
      <c r="B318" s="4"/>
      <c r="C318" s="202">
        <f t="shared" si="39"/>
        <v>8.28</v>
      </c>
      <c r="D318" s="190">
        <f t="shared" si="40"/>
        <v>2.884</v>
      </c>
      <c r="E318" s="190">
        <f t="shared" si="45"/>
        <v>168.38834299199996</v>
      </c>
      <c r="F318" s="190">
        <f t="shared" si="42"/>
        <v>41.56158587984814</v>
      </c>
      <c r="G318" s="190">
        <f t="shared" si="46"/>
        <v>163.17864025277154</v>
      </c>
      <c r="H318" s="191">
        <f t="shared" si="44"/>
        <v>378.9702425560704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8" customHeight="1">
      <c r="A319" s="254"/>
      <c r="B319" s="4"/>
      <c r="C319" s="202">
        <f t="shared" si="39"/>
        <v>8.739999999999998</v>
      </c>
      <c r="D319" s="190">
        <f t="shared" si="40"/>
        <v>3.022</v>
      </c>
      <c r="E319" s="190">
        <f t="shared" si="45"/>
        <v>187.61787598799992</v>
      </c>
      <c r="F319" s="190">
        <f t="shared" si="42"/>
        <v>46.307816366127085</v>
      </c>
      <c r="G319" s="190">
        <f t="shared" si="46"/>
        <v>181.81323805941517</v>
      </c>
      <c r="H319" s="191">
        <f t="shared" si="44"/>
        <v>446.220445849213</v>
      </c>
      <c r="I319" s="4"/>
      <c r="J319" s="4"/>
      <c r="K319" s="4"/>
      <c r="L319" s="4"/>
      <c r="M319" s="4"/>
      <c r="N319" s="4"/>
      <c r="O319" s="4"/>
      <c r="P319" s="4"/>
      <c r="Q319" s="70"/>
      <c r="R319" s="70"/>
      <c r="S319" s="70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8" customHeight="1">
      <c r="A320" s="254"/>
      <c r="B320" s="4"/>
      <c r="C320" s="204">
        <f t="shared" si="39"/>
        <v>9.2</v>
      </c>
      <c r="D320" s="193">
        <f t="shared" si="40"/>
        <v>3.16</v>
      </c>
      <c r="E320" s="193">
        <f t="shared" si="45"/>
        <v>207.8868432</v>
      </c>
      <c r="F320" s="193">
        <f t="shared" si="42"/>
        <v>51.31059985166437</v>
      </c>
      <c r="G320" s="193">
        <f t="shared" si="46"/>
        <v>201.45511142317477</v>
      </c>
      <c r="H320" s="194">
        <f t="shared" si="44"/>
        <v>520.9896766442624</v>
      </c>
      <c r="I320" s="4"/>
      <c r="J320" s="4"/>
      <c r="K320" s="4"/>
      <c r="L320" s="4"/>
      <c r="M320" s="4"/>
      <c r="N320" s="4"/>
      <c r="O320" s="4"/>
      <c r="P320" s="4"/>
      <c r="Q320" s="70"/>
      <c r="R320" s="70"/>
      <c r="S320" s="7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8" customHeight="1">
      <c r="A321" s="25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70"/>
      <c r="R321" s="70"/>
      <c r="S321" s="70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8" customHeight="1">
      <c r="A322" s="254"/>
      <c r="B322" s="177" t="s">
        <v>326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</row>
    <row r="323" spans="1:30" ht="18" customHeight="1">
      <c r="A323" s="254"/>
      <c r="B323" s="70"/>
      <c r="C323" s="70"/>
      <c r="D323" s="70"/>
      <c r="E323" s="70"/>
      <c r="F323" s="70"/>
      <c r="G323" s="70"/>
      <c r="H323" s="70"/>
      <c r="I323" s="4"/>
      <c r="J323" s="4"/>
      <c r="K323" s="4"/>
      <c r="L323" s="4"/>
      <c r="M323" s="4"/>
      <c r="N323" s="4"/>
      <c r="O323" s="4"/>
      <c r="P323" s="4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</row>
    <row r="324" spans="1:30" ht="18" customHeight="1">
      <c r="A324" s="238"/>
      <c r="B324" s="70"/>
      <c r="C324" s="70"/>
      <c r="D324" s="70"/>
      <c r="E324" s="70"/>
      <c r="F324" s="70"/>
      <c r="G324" s="70"/>
      <c r="H324" s="70"/>
      <c r="I324" s="4"/>
      <c r="J324" s="4"/>
      <c r="K324" s="4"/>
      <c r="L324" s="4"/>
      <c r="M324" s="4"/>
      <c r="N324" s="4"/>
      <c r="O324" s="4"/>
      <c r="P324" s="4"/>
      <c r="Q324" s="25"/>
      <c r="R324" s="25"/>
      <c r="S324" s="25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</row>
    <row r="325" spans="1:30" ht="18" customHeight="1">
      <c r="A325" s="238"/>
      <c r="B325" s="70"/>
      <c r="C325" s="70"/>
      <c r="D325" s="70"/>
      <c r="E325" s="70"/>
      <c r="F325" s="70"/>
      <c r="G325" s="70"/>
      <c r="H325" s="70"/>
      <c r="I325" s="4"/>
      <c r="J325" s="4"/>
      <c r="K325" s="4"/>
      <c r="L325" s="4"/>
      <c r="M325" s="4"/>
      <c r="N325" s="4"/>
      <c r="O325" s="4"/>
      <c r="P325" s="4"/>
      <c r="Q325" s="25"/>
      <c r="R325" s="25"/>
      <c r="S325" s="25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</row>
    <row r="326" spans="1:30" ht="18" customHeight="1">
      <c r="A326" s="238"/>
      <c r="B326" s="70"/>
      <c r="C326" s="70"/>
      <c r="D326" s="70"/>
      <c r="E326" s="70"/>
      <c r="F326" s="70"/>
      <c r="G326" s="70"/>
      <c r="H326" s="70"/>
      <c r="I326" s="4"/>
      <c r="J326" s="4"/>
      <c r="K326" s="4"/>
      <c r="L326" s="4"/>
      <c r="M326" s="4"/>
      <c r="N326" s="4"/>
      <c r="O326" s="4"/>
      <c r="P326" s="4"/>
      <c r="Q326" s="25"/>
      <c r="R326" s="25"/>
      <c r="S326" s="25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</row>
    <row r="327" spans="1:30" ht="18" customHeight="1">
      <c r="A327" s="238"/>
      <c r="B327" s="70"/>
      <c r="C327" s="70"/>
      <c r="D327" s="70"/>
      <c r="E327" s="70"/>
      <c r="F327" s="70"/>
      <c r="G327" s="70"/>
      <c r="H327" s="70"/>
      <c r="I327" s="4"/>
      <c r="J327" s="4"/>
      <c r="K327" s="4"/>
      <c r="L327" s="4"/>
      <c r="M327" s="4"/>
      <c r="N327" s="4"/>
      <c r="O327" s="4"/>
      <c r="P327" s="4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ht="18" customHeight="1">
      <c r="A328" s="238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93" s="14" customFormat="1" ht="18" customHeight="1">
      <c r="A329" s="238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</row>
    <row r="330" spans="1:30" s="14" customFormat="1" ht="18" customHeight="1">
      <c r="A330" s="238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14" customFormat="1" ht="18" customHeight="1">
      <c r="A331" s="238"/>
      <c r="B331" s="70"/>
      <c r="C331" s="376" t="s">
        <v>309</v>
      </c>
      <c r="D331" s="188" t="s">
        <v>318</v>
      </c>
      <c r="E331" s="188" t="s">
        <v>307</v>
      </c>
      <c r="F331" s="188" t="s">
        <v>311</v>
      </c>
      <c r="G331" s="189" t="s">
        <v>312</v>
      </c>
      <c r="H331" s="70"/>
      <c r="I331" s="70"/>
      <c r="J331" s="70"/>
      <c r="K331" s="70"/>
      <c r="L331" s="70"/>
      <c r="M331" s="70"/>
      <c r="N331" s="70"/>
      <c r="O331" s="70"/>
      <c r="P331" s="70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14" customFormat="1" ht="18" customHeight="1">
      <c r="A332" s="238"/>
      <c r="B332" s="70"/>
      <c r="C332" s="377"/>
      <c r="D332" s="195" t="s">
        <v>319</v>
      </c>
      <c r="E332" s="198" t="s">
        <v>292</v>
      </c>
      <c r="F332" s="198" t="s">
        <v>293</v>
      </c>
      <c r="G332" s="199" t="s">
        <v>294</v>
      </c>
      <c r="H332" s="178"/>
      <c r="I332" s="70"/>
      <c r="J332" s="70"/>
      <c r="K332" s="70"/>
      <c r="L332" s="70"/>
      <c r="M332" s="70"/>
      <c r="N332" s="70"/>
      <c r="O332" s="70"/>
      <c r="P332" s="70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14" customFormat="1" ht="18" customHeight="1">
      <c r="A333" s="238"/>
      <c r="B333" s="25"/>
      <c r="C333" s="192" t="s">
        <v>197</v>
      </c>
      <c r="D333" s="140" t="s">
        <v>320</v>
      </c>
      <c r="E333" s="140" t="s">
        <v>200</v>
      </c>
      <c r="F333" s="140" t="s">
        <v>200</v>
      </c>
      <c r="G333" s="31" t="s">
        <v>201</v>
      </c>
      <c r="H333" s="110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14" customFormat="1" ht="18" customHeight="1">
      <c r="A334" s="238"/>
      <c r="B334" s="25"/>
      <c r="C334" s="200">
        <f>0</f>
        <v>0</v>
      </c>
      <c r="D334" s="180">
        <f aca="true" t="shared" si="47" ref="D334:D354">MIN(1+C334,Lw)</f>
        <v>1</v>
      </c>
      <c r="E334" s="183">
        <v>0</v>
      </c>
      <c r="F334" s="183">
        <f>P/D334</f>
        <v>0</v>
      </c>
      <c r="G334" s="260">
        <f>(hp+C334)*P/D334</f>
        <v>0</v>
      </c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14" customFormat="1" ht="18" customHeight="1">
      <c r="A335" s="238"/>
      <c r="B335" s="25"/>
      <c r="C335" s="200">
        <f aca="true" t="shared" si="48" ref="C335:C354">C334+Ha/20</f>
        <v>0.45999999999999996</v>
      </c>
      <c r="D335" s="180">
        <f t="shared" si="47"/>
        <v>1.46</v>
      </c>
      <c r="E335" s="183">
        <f>E334</f>
        <v>0</v>
      </c>
      <c r="F335" s="183">
        <f aca="true" t="shared" si="49" ref="F335:F354">P/D335</f>
        <v>0</v>
      </c>
      <c r="G335" s="260">
        <f aca="true" t="shared" si="50" ref="G335:G354">(hp+C335)*P/D335</f>
        <v>0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14" customFormat="1" ht="18" customHeight="1">
      <c r="A336" s="238"/>
      <c r="B336" s="25"/>
      <c r="C336" s="200">
        <f t="shared" si="48"/>
        <v>0.9199999999999999</v>
      </c>
      <c r="D336" s="180">
        <f t="shared" si="47"/>
        <v>1.92</v>
      </c>
      <c r="E336" s="183">
        <f aca="true" t="shared" si="51" ref="E336:E354">E335</f>
        <v>0</v>
      </c>
      <c r="F336" s="183">
        <f t="shared" si="49"/>
        <v>0</v>
      </c>
      <c r="G336" s="260">
        <f t="shared" si="50"/>
        <v>0</v>
      </c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14" customFormat="1" ht="18" customHeight="1">
      <c r="A337" s="238"/>
      <c r="B337" s="25"/>
      <c r="C337" s="200">
        <f t="shared" si="48"/>
        <v>1.38</v>
      </c>
      <c r="D337" s="180">
        <f t="shared" si="47"/>
        <v>2.38</v>
      </c>
      <c r="E337" s="183">
        <f t="shared" si="51"/>
        <v>0</v>
      </c>
      <c r="F337" s="183">
        <f t="shared" si="49"/>
        <v>0</v>
      </c>
      <c r="G337" s="260">
        <f t="shared" si="50"/>
        <v>0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14" customFormat="1" ht="18" customHeight="1">
      <c r="A338" s="238"/>
      <c r="B338" s="25"/>
      <c r="C338" s="200">
        <f t="shared" si="48"/>
        <v>1.8399999999999999</v>
      </c>
      <c r="D338" s="180">
        <f t="shared" si="47"/>
        <v>2.84</v>
      </c>
      <c r="E338" s="183">
        <f t="shared" si="51"/>
        <v>0</v>
      </c>
      <c r="F338" s="183">
        <f t="shared" si="49"/>
        <v>0</v>
      </c>
      <c r="G338" s="260">
        <f t="shared" si="50"/>
        <v>0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14" customFormat="1" ht="18" customHeight="1">
      <c r="A339" s="238"/>
      <c r="B339" s="25"/>
      <c r="C339" s="200">
        <f t="shared" si="48"/>
        <v>2.3</v>
      </c>
      <c r="D339" s="180">
        <f t="shared" si="47"/>
        <v>3.3</v>
      </c>
      <c r="E339" s="183">
        <f t="shared" si="51"/>
        <v>0</v>
      </c>
      <c r="F339" s="183">
        <f t="shared" si="49"/>
        <v>0</v>
      </c>
      <c r="G339" s="260">
        <f t="shared" si="50"/>
        <v>0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14" customFormat="1" ht="18" customHeight="1">
      <c r="A340" s="238"/>
      <c r="B340" s="25"/>
      <c r="C340" s="200">
        <f t="shared" si="48"/>
        <v>2.76</v>
      </c>
      <c r="D340" s="180">
        <f t="shared" si="47"/>
        <v>3.76</v>
      </c>
      <c r="E340" s="183">
        <f t="shared" si="51"/>
        <v>0</v>
      </c>
      <c r="F340" s="183">
        <f t="shared" si="49"/>
        <v>0</v>
      </c>
      <c r="G340" s="260">
        <f t="shared" si="50"/>
        <v>0</v>
      </c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14" customFormat="1" ht="18" customHeight="1">
      <c r="A341" s="238"/>
      <c r="B341" s="25"/>
      <c r="C341" s="200">
        <f t="shared" si="48"/>
        <v>3.2199999999999998</v>
      </c>
      <c r="D341" s="180">
        <f t="shared" si="47"/>
        <v>4.22</v>
      </c>
      <c r="E341" s="183">
        <f t="shared" si="51"/>
        <v>0</v>
      </c>
      <c r="F341" s="183">
        <f t="shared" si="49"/>
        <v>0</v>
      </c>
      <c r="G341" s="260">
        <f t="shared" si="50"/>
        <v>0</v>
      </c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14" customFormat="1" ht="18" customHeight="1">
      <c r="A342" s="238"/>
      <c r="B342" s="25"/>
      <c r="C342" s="200">
        <f t="shared" si="48"/>
        <v>3.6799999999999997</v>
      </c>
      <c r="D342" s="180">
        <f t="shared" si="47"/>
        <v>4.68</v>
      </c>
      <c r="E342" s="183">
        <f t="shared" si="51"/>
        <v>0</v>
      </c>
      <c r="F342" s="183">
        <f t="shared" si="49"/>
        <v>0</v>
      </c>
      <c r="G342" s="260">
        <f t="shared" si="50"/>
        <v>0</v>
      </c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14" customFormat="1" ht="18" customHeight="1">
      <c r="A343" s="238"/>
      <c r="B343" s="25"/>
      <c r="C343" s="200">
        <f t="shared" si="48"/>
        <v>4.14</v>
      </c>
      <c r="D343" s="180">
        <f t="shared" si="47"/>
        <v>5.14</v>
      </c>
      <c r="E343" s="183">
        <f t="shared" si="51"/>
        <v>0</v>
      </c>
      <c r="F343" s="183">
        <f t="shared" si="49"/>
        <v>0</v>
      </c>
      <c r="G343" s="260">
        <f t="shared" si="50"/>
        <v>0</v>
      </c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14" customFormat="1" ht="18" customHeight="1">
      <c r="A344" s="238"/>
      <c r="B344" s="25"/>
      <c r="C344" s="200">
        <f t="shared" si="48"/>
        <v>4.6</v>
      </c>
      <c r="D344" s="180">
        <f t="shared" si="47"/>
        <v>5.6</v>
      </c>
      <c r="E344" s="183">
        <f t="shared" si="51"/>
        <v>0</v>
      </c>
      <c r="F344" s="183">
        <f t="shared" si="49"/>
        <v>0</v>
      </c>
      <c r="G344" s="260">
        <f t="shared" si="50"/>
        <v>0</v>
      </c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14" customFormat="1" ht="18" customHeight="1">
      <c r="A345" s="238"/>
      <c r="B345" s="25"/>
      <c r="C345" s="200">
        <f t="shared" si="48"/>
        <v>5.06</v>
      </c>
      <c r="D345" s="180">
        <f t="shared" si="47"/>
        <v>6.06</v>
      </c>
      <c r="E345" s="183">
        <f t="shared" si="51"/>
        <v>0</v>
      </c>
      <c r="F345" s="183">
        <f t="shared" si="49"/>
        <v>0</v>
      </c>
      <c r="G345" s="260">
        <f t="shared" si="50"/>
        <v>0</v>
      </c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14" customFormat="1" ht="18" customHeight="1">
      <c r="A346" s="238"/>
      <c r="B346" s="25"/>
      <c r="C346" s="200">
        <f t="shared" si="48"/>
        <v>5.52</v>
      </c>
      <c r="D346" s="180">
        <f t="shared" si="47"/>
        <v>6.52</v>
      </c>
      <c r="E346" s="183">
        <f t="shared" si="51"/>
        <v>0</v>
      </c>
      <c r="F346" s="183">
        <f t="shared" si="49"/>
        <v>0</v>
      </c>
      <c r="G346" s="260">
        <f t="shared" si="50"/>
        <v>0</v>
      </c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14" customFormat="1" ht="18" customHeight="1">
      <c r="A347" s="238"/>
      <c r="B347" s="25"/>
      <c r="C347" s="200">
        <f t="shared" si="48"/>
        <v>5.9799999999999995</v>
      </c>
      <c r="D347" s="180">
        <f t="shared" si="47"/>
        <v>6.9799999999999995</v>
      </c>
      <c r="E347" s="183">
        <f t="shared" si="51"/>
        <v>0</v>
      </c>
      <c r="F347" s="183">
        <f t="shared" si="49"/>
        <v>0</v>
      </c>
      <c r="G347" s="260">
        <f t="shared" si="50"/>
        <v>0</v>
      </c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14" customFormat="1" ht="18" customHeight="1">
      <c r="A348" s="238"/>
      <c r="B348" s="25"/>
      <c r="C348" s="200">
        <f t="shared" si="48"/>
        <v>6.4399999999999995</v>
      </c>
      <c r="D348" s="180">
        <f t="shared" si="47"/>
        <v>7.4399999999999995</v>
      </c>
      <c r="E348" s="183">
        <f t="shared" si="51"/>
        <v>0</v>
      </c>
      <c r="F348" s="183">
        <f t="shared" si="49"/>
        <v>0</v>
      </c>
      <c r="G348" s="260">
        <f t="shared" si="50"/>
        <v>0</v>
      </c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14" customFormat="1" ht="18" customHeight="1">
      <c r="A349" s="238"/>
      <c r="B349" s="25"/>
      <c r="C349" s="200">
        <f t="shared" si="48"/>
        <v>6.8999999999999995</v>
      </c>
      <c r="D349" s="180">
        <f t="shared" si="47"/>
        <v>7.8999999999999995</v>
      </c>
      <c r="E349" s="183">
        <f t="shared" si="51"/>
        <v>0</v>
      </c>
      <c r="F349" s="183">
        <f t="shared" si="49"/>
        <v>0</v>
      </c>
      <c r="G349" s="260">
        <f t="shared" si="50"/>
        <v>0</v>
      </c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14" customFormat="1" ht="18" customHeight="1">
      <c r="A350" s="238"/>
      <c r="B350" s="25"/>
      <c r="C350" s="200">
        <f t="shared" si="48"/>
        <v>7.359999999999999</v>
      </c>
      <c r="D350" s="180">
        <f t="shared" si="47"/>
        <v>8.36</v>
      </c>
      <c r="E350" s="183">
        <f t="shared" si="51"/>
        <v>0</v>
      </c>
      <c r="F350" s="183">
        <f t="shared" si="49"/>
        <v>0</v>
      </c>
      <c r="G350" s="260">
        <f t="shared" si="50"/>
        <v>0</v>
      </c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14" customFormat="1" ht="18" customHeight="1">
      <c r="A351" s="238"/>
      <c r="B351" s="25"/>
      <c r="C351" s="200">
        <f t="shared" si="48"/>
        <v>7.819999999999999</v>
      </c>
      <c r="D351" s="180">
        <f t="shared" si="47"/>
        <v>8.82</v>
      </c>
      <c r="E351" s="183">
        <f t="shared" si="51"/>
        <v>0</v>
      </c>
      <c r="F351" s="183">
        <f t="shared" si="49"/>
        <v>0</v>
      </c>
      <c r="G351" s="260">
        <f t="shared" si="50"/>
        <v>0</v>
      </c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14" customFormat="1" ht="18" customHeight="1">
      <c r="A352" s="238"/>
      <c r="B352" s="25"/>
      <c r="C352" s="200">
        <f t="shared" si="48"/>
        <v>8.28</v>
      </c>
      <c r="D352" s="180">
        <f t="shared" si="47"/>
        <v>9.28</v>
      </c>
      <c r="E352" s="183">
        <f t="shared" si="51"/>
        <v>0</v>
      </c>
      <c r="F352" s="183">
        <f t="shared" si="49"/>
        <v>0</v>
      </c>
      <c r="G352" s="260">
        <f t="shared" si="50"/>
        <v>0</v>
      </c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14" customFormat="1" ht="18" customHeight="1">
      <c r="A353" s="238"/>
      <c r="B353" s="25"/>
      <c r="C353" s="200">
        <f t="shared" si="48"/>
        <v>8.739999999999998</v>
      </c>
      <c r="D353" s="180">
        <f t="shared" si="47"/>
        <v>9.739999999999998</v>
      </c>
      <c r="E353" s="183">
        <f t="shared" si="51"/>
        <v>0</v>
      </c>
      <c r="F353" s="183">
        <f t="shared" si="49"/>
        <v>0</v>
      </c>
      <c r="G353" s="260">
        <f t="shared" si="50"/>
        <v>0</v>
      </c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14" customFormat="1" ht="18" customHeight="1">
      <c r="A354" s="238"/>
      <c r="B354" s="25"/>
      <c r="C354" s="201">
        <f t="shared" si="48"/>
        <v>9.2</v>
      </c>
      <c r="D354" s="193">
        <f t="shared" si="47"/>
        <v>10</v>
      </c>
      <c r="E354" s="185">
        <f t="shared" si="51"/>
        <v>0</v>
      </c>
      <c r="F354" s="185">
        <f t="shared" si="49"/>
        <v>0</v>
      </c>
      <c r="G354" s="261">
        <f t="shared" si="50"/>
        <v>0</v>
      </c>
      <c r="H354" s="25"/>
      <c r="I354" s="25"/>
      <c r="J354" s="25"/>
      <c r="K354" s="25"/>
      <c r="L354" s="25"/>
      <c r="M354" s="25"/>
      <c r="N354" s="25"/>
      <c r="O354" s="25"/>
      <c r="P354" s="25"/>
      <c r="Q354" s="13"/>
      <c r="R354" s="13"/>
      <c r="S354" s="13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14" customFormat="1" ht="18" customHeight="1">
      <c r="A355" s="238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13"/>
      <c r="R355" s="13"/>
      <c r="S355" s="13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14" customFormat="1" ht="18" customHeight="1">
      <c r="A356" s="238"/>
      <c r="B356" s="177" t="s">
        <v>327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13"/>
      <c r="R356" s="13"/>
      <c r="S356" s="13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14" customFormat="1" ht="18" customHeight="1">
      <c r="A357" s="238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s="14" customFormat="1" ht="18" customHeight="1">
      <c r="A358" s="238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s="14" customFormat="1" ht="18" customHeight="1">
      <c r="A359" s="238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s="14" customFormat="1" ht="18" customHeight="1">
      <c r="A360" s="238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s="14" customFormat="1" ht="18" customHeight="1">
      <c r="A361" s="238"/>
      <c r="B361" s="13"/>
      <c r="C361" s="376" t="s">
        <v>309</v>
      </c>
      <c r="D361" s="188" t="s">
        <v>310</v>
      </c>
      <c r="E361" s="188" t="s">
        <v>307</v>
      </c>
      <c r="F361" s="188" t="s">
        <v>311</v>
      </c>
      <c r="G361" s="189" t="s">
        <v>312</v>
      </c>
      <c r="H361" s="25"/>
      <c r="I361" s="25"/>
      <c r="J361" s="25"/>
      <c r="K361" s="25"/>
      <c r="L361" s="25"/>
      <c r="M361" s="25"/>
      <c r="N361" s="25"/>
      <c r="O361" s="25"/>
      <c r="P361" s="25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s="14" customFormat="1" ht="18" customHeight="1">
      <c r="A362" s="238"/>
      <c r="B362" s="13"/>
      <c r="C362" s="377"/>
      <c r="D362" s="195" t="s">
        <v>287</v>
      </c>
      <c r="E362" s="195" t="s">
        <v>295</v>
      </c>
      <c r="F362" s="195" t="s">
        <v>296</v>
      </c>
      <c r="G362" s="196" t="s">
        <v>297</v>
      </c>
      <c r="H362" s="13"/>
      <c r="I362" s="25"/>
      <c r="J362" s="25"/>
      <c r="K362" s="25"/>
      <c r="L362" s="25"/>
      <c r="M362" s="25"/>
      <c r="N362" s="25"/>
      <c r="O362" s="25"/>
      <c r="P362" s="25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s="14" customFormat="1" ht="18" customHeight="1">
      <c r="A363" s="238"/>
      <c r="B363" s="13"/>
      <c r="C363" s="192" t="s">
        <v>197</v>
      </c>
      <c r="D363" s="197" t="s">
        <v>197</v>
      </c>
      <c r="E363" s="197" t="s">
        <v>202</v>
      </c>
      <c r="F363" s="197" t="s">
        <v>202</v>
      </c>
      <c r="G363" s="73" t="s">
        <v>203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s="14" customFormat="1" ht="18" customHeight="1">
      <c r="A364" s="238"/>
      <c r="B364" s="13"/>
      <c r="C364" s="202">
        <f>0</f>
        <v>0</v>
      </c>
      <c r="D364" s="190">
        <f aca="true" t="shared" si="52" ref="D364:D384">bu+(n+nb)*C364</f>
        <v>0.4</v>
      </c>
      <c r="E364" s="203">
        <f aca="true" t="shared" si="53" ref="E364:G384">E265+F300+E334</f>
        <v>0</v>
      </c>
      <c r="F364" s="203">
        <f t="shared" si="53"/>
        <v>0</v>
      </c>
      <c r="G364" s="258">
        <f t="shared" si="53"/>
        <v>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s="14" customFormat="1" ht="18" customHeight="1">
      <c r="A365" s="246"/>
      <c r="B365" s="13"/>
      <c r="C365" s="202">
        <f aca="true" t="shared" si="54" ref="C365:C384">C364+Ha/20</f>
        <v>0.45999999999999996</v>
      </c>
      <c r="D365" s="190">
        <f t="shared" si="52"/>
        <v>0.538</v>
      </c>
      <c r="E365" s="203">
        <f t="shared" si="53"/>
        <v>5.090296499629161</v>
      </c>
      <c r="F365" s="203">
        <f t="shared" si="53"/>
        <v>0.5036377785579369</v>
      </c>
      <c r="G365" s="258">
        <f t="shared" si="53"/>
        <v>-0.23057292534900772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s="14" customFormat="1" ht="18" customHeight="1">
      <c r="A366" s="246"/>
      <c r="B366" s="13"/>
      <c r="C366" s="202">
        <f t="shared" si="54"/>
        <v>0.9199999999999999</v>
      </c>
      <c r="D366" s="190">
        <f t="shared" si="52"/>
        <v>0.676</v>
      </c>
      <c r="E366" s="203">
        <f t="shared" si="53"/>
        <v>11.897185998516642</v>
      </c>
      <c r="F366" s="203">
        <f t="shared" si="53"/>
        <v>2.0145511142317476</v>
      </c>
      <c r="G366" s="258">
        <f t="shared" si="53"/>
        <v>-0.7686022030887331</v>
      </c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3:93" ht="18" customHeight="1">
      <c r="C367" s="202">
        <f t="shared" si="54"/>
        <v>1.38</v>
      </c>
      <c r="D367" s="190">
        <f t="shared" si="52"/>
        <v>0.8140000000000001</v>
      </c>
      <c r="E367" s="203">
        <f t="shared" si="53"/>
        <v>20.420668496662447</v>
      </c>
      <c r="F367" s="203">
        <f t="shared" si="53"/>
        <v>4.532740007021431</v>
      </c>
      <c r="G367" s="258">
        <f t="shared" si="53"/>
        <v>-1.3835535857582304</v>
      </c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</row>
    <row r="368" spans="3:7" ht="18" customHeight="1">
      <c r="C368" s="202">
        <f t="shared" si="54"/>
        <v>1.8399999999999999</v>
      </c>
      <c r="D368" s="190">
        <f t="shared" si="52"/>
        <v>0.9520000000000001</v>
      </c>
      <c r="E368" s="203">
        <f t="shared" si="53"/>
        <v>30.66074399406658</v>
      </c>
      <c r="F368" s="203">
        <f t="shared" si="53"/>
        <v>8.05820445692699</v>
      </c>
      <c r="G368" s="258">
        <f t="shared" si="53"/>
        <v>-1.8448928258965531</v>
      </c>
    </row>
    <row r="369" spans="3:7" ht="18" customHeight="1">
      <c r="C369" s="202">
        <f t="shared" si="54"/>
        <v>2.3</v>
      </c>
      <c r="D369" s="190">
        <f t="shared" si="52"/>
        <v>1.09</v>
      </c>
      <c r="E369" s="203">
        <f t="shared" si="53"/>
        <v>42.61741249072902</v>
      </c>
      <c r="F369" s="203">
        <f t="shared" si="53"/>
        <v>12.590944463948423</v>
      </c>
      <c r="G369" s="258">
        <f t="shared" si="53"/>
        <v>-1.9220856760427516</v>
      </c>
    </row>
    <row r="370" spans="3:7" ht="18" customHeight="1">
      <c r="C370" s="202">
        <f t="shared" si="54"/>
        <v>2.76</v>
      </c>
      <c r="D370" s="190">
        <f t="shared" si="52"/>
        <v>1.2280000000000002</v>
      </c>
      <c r="E370" s="203">
        <f t="shared" si="53"/>
        <v>56.29067398664979</v>
      </c>
      <c r="F370" s="203">
        <f t="shared" si="53"/>
        <v>18.130960028085724</v>
      </c>
      <c r="G370" s="258">
        <f t="shared" si="53"/>
        <v>-1.3845978887358896</v>
      </c>
    </row>
    <row r="371" spans="3:7" ht="18" customHeight="1">
      <c r="C371" s="202">
        <f t="shared" si="54"/>
        <v>3.2199999999999998</v>
      </c>
      <c r="D371" s="190">
        <f t="shared" si="52"/>
        <v>1.366</v>
      </c>
      <c r="E371" s="203">
        <f t="shared" si="53"/>
        <v>71.68052848182889</v>
      </c>
      <c r="F371" s="203">
        <f t="shared" si="53"/>
        <v>24.6782511493389</v>
      </c>
      <c r="G371" s="258">
        <f t="shared" si="53"/>
        <v>-0.0018952165150167843</v>
      </c>
    </row>
    <row r="372" spans="3:7" ht="18" customHeight="1">
      <c r="C372" s="202">
        <f t="shared" si="54"/>
        <v>3.6799999999999997</v>
      </c>
      <c r="D372" s="190">
        <f t="shared" si="52"/>
        <v>1.504</v>
      </c>
      <c r="E372" s="203">
        <f t="shared" si="53"/>
        <v>88.7869759762663</v>
      </c>
      <c r="F372" s="203">
        <f t="shared" si="53"/>
        <v>32.23281782770796</v>
      </c>
      <c r="G372" s="258">
        <f t="shared" si="53"/>
        <v>2.45655658808084</v>
      </c>
    </row>
    <row r="373" spans="3:7" ht="18" customHeight="1">
      <c r="C373" s="202">
        <f t="shared" si="54"/>
        <v>4.14</v>
      </c>
      <c r="D373" s="190">
        <f t="shared" si="52"/>
        <v>1.642</v>
      </c>
      <c r="E373" s="203">
        <f t="shared" si="53"/>
        <v>107.610016469962</v>
      </c>
      <c r="F373" s="203">
        <f t="shared" si="53"/>
        <v>40.794660063192886</v>
      </c>
      <c r="G373" s="258">
        <f t="shared" si="53"/>
        <v>6.221291772512608</v>
      </c>
    </row>
    <row r="374" spans="3:7" ht="18" customHeight="1">
      <c r="C374" s="202">
        <f t="shared" si="54"/>
        <v>4.6</v>
      </c>
      <c r="D374" s="190">
        <f t="shared" si="52"/>
        <v>1.7800000000000002</v>
      </c>
      <c r="E374" s="203">
        <f t="shared" si="53"/>
        <v>128.14964996291607</v>
      </c>
      <c r="F374" s="203">
        <f t="shared" si="53"/>
        <v>50.36377785579369</v>
      </c>
      <c r="G374" s="258">
        <f t="shared" si="53"/>
        <v>11.522844584241199</v>
      </c>
    </row>
    <row r="375" spans="3:7" ht="18" customHeight="1">
      <c r="C375" s="202">
        <f t="shared" si="54"/>
        <v>5.06</v>
      </c>
      <c r="D375" s="190">
        <f t="shared" si="52"/>
        <v>1.9180000000000001</v>
      </c>
      <c r="E375" s="203">
        <f t="shared" si="53"/>
        <v>150.40587645512844</v>
      </c>
      <c r="F375" s="203">
        <f t="shared" si="53"/>
        <v>60.94017120551035</v>
      </c>
      <c r="G375" s="258">
        <f t="shared" si="53"/>
        <v>18.591749270727604</v>
      </c>
    </row>
    <row r="376" spans="3:7" ht="18" customHeight="1">
      <c r="C376" s="202">
        <f t="shared" si="54"/>
        <v>5.52</v>
      </c>
      <c r="D376" s="190">
        <f t="shared" si="52"/>
        <v>2.056</v>
      </c>
      <c r="E376" s="203">
        <f t="shared" si="53"/>
        <v>174.37869594659918</v>
      </c>
      <c r="F376" s="203">
        <f t="shared" si="53"/>
        <v>72.5238401123429</v>
      </c>
      <c r="G376" s="258">
        <f t="shared" si="53"/>
        <v>27.65854007943274</v>
      </c>
    </row>
    <row r="377" spans="3:7" ht="18" customHeight="1">
      <c r="C377" s="202">
        <f t="shared" si="54"/>
        <v>5.9799999999999995</v>
      </c>
      <c r="D377" s="190">
        <f t="shared" si="52"/>
        <v>2.194</v>
      </c>
      <c r="E377" s="203">
        <f t="shared" si="53"/>
        <v>200.06810843732822</v>
      </c>
      <c r="F377" s="203">
        <f t="shared" si="53"/>
        <v>85.11478457629133</v>
      </c>
      <c r="G377" s="258">
        <f t="shared" si="53"/>
        <v>38.953751257817586</v>
      </c>
    </row>
    <row r="378" spans="3:7" ht="18" customHeight="1">
      <c r="C378" s="202">
        <f t="shared" si="54"/>
        <v>6.4399999999999995</v>
      </c>
      <c r="D378" s="190">
        <f t="shared" si="52"/>
        <v>2.3320000000000003</v>
      </c>
      <c r="E378" s="203">
        <f t="shared" si="53"/>
        <v>227.47411392731553</v>
      </c>
      <c r="F378" s="203">
        <f t="shared" si="53"/>
        <v>98.7130045973556</v>
      </c>
      <c r="G378" s="258">
        <f t="shared" si="53"/>
        <v>52.707917053343024</v>
      </c>
    </row>
    <row r="379" spans="3:7" ht="18" customHeight="1">
      <c r="C379" s="202">
        <f t="shared" si="54"/>
        <v>6.8999999999999995</v>
      </c>
      <c r="D379" s="190">
        <f t="shared" si="52"/>
        <v>2.47</v>
      </c>
      <c r="E379" s="203">
        <f t="shared" si="53"/>
        <v>256.5967124165612</v>
      </c>
      <c r="F379" s="203">
        <f t="shared" si="53"/>
        <v>113.31850017553579</v>
      </c>
      <c r="G379" s="258">
        <f t="shared" si="53"/>
        <v>69.15157171347013</v>
      </c>
    </row>
    <row r="380" spans="3:7" ht="18" customHeight="1">
      <c r="C380" s="202">
        <f t="shared" si="54"/>
        <v>7.359999999999999</v>
      </c>
      <c r="D380" s="190">
        <f t="shared" si="52"/>
        <v>2.608</v>
      </c>
      <c r="E380" s="203">
        <f t="shared" si="53"/>
        <v>287.4359039050652</v>
      </c>
      <c r="F380" s="203">
        <f t="shared" si="53"/>
        <v>128.93127131083185</v>
      </c>
      <c r="G380" s="258">
        <f t="shared" si="53"/>
        <v>88.51524948565981</v>
      </c>
    </row>
    <row r="381" spans="3:7" ht="18" customHeight="1">
      <c r="C381" s="202">
        <f t="shared" si="54"/>
        <v>7.819999999999999</v>
      </c>
      <c r="D381" s="190">
        <f t="shared" si="52"/>
        <v>2.746</v>
      </c>
      <c r="E381" s="203">
        <f t="shared" si="53"/>
        <v>319.9916883928275</v>
      </c>
      <c r="F381" s="203">
        <f t="shared" si="53"/>
        <v>145.55131800324375</v>
      </c>
      <c r="G381" s="258">
        <f t="shared" si="53"/>
        <v>111.02948461737284</v>
      </c>
    </row>
    <row r="382" spans="3:7" ht="18" customHeight="1">
      <c r="C382" s="202">
        <f t="shared" si="54"/>
        <v>8.28</v>
      </c>
      <c r="D382" s="190">
        <f t="shared" si="52"/>
        <v>2.884</v>
      </c>
      <c r="E382" s="203">
        <f t="shared" si="53"/>
        <v>354.2640658798481</v>
      </c>
      <c r="F382" s="203">
        <f t="shared" si="53"/>
        <v>163.17864025277154</v>
      </c>
      <c r="G382" s="258">
        <f t="shared" si="53"/>
        <v>136.9248113560704</v>
      </c>
    </row>
    <row r="383" spans="3:7" ht="18" customHeight="1">
      <c r="C383" s="202">
        <f t="shared" si="54"/>
        <v>8.739999999999998</v>
      </c>
      <c r="D383" s="190">
        <f t="shared" si="52"/>
        <v>3.022</v>
      </c>
      <c r="E383" s="203">
        <f t="shared" si="53"/>
        <v>390.253036366127</v>
      </c>
      <c r="F383" s="203">
        <f t="shared" si="53"/>
        <v>181.81323805941517</v>
      </c>
      <c r="G383" s="258">
        <f t="shared" si="53"/>
        <v>166.43176394921312</v>
      </c>
    </row>
    <row r="384" spans="3:7" ht="18" customHeight="1">
      <c r="C384" s="204">
        <f t="shared" si="54"/>
        <v>9.2</v>
      </c>
      <c r="D384" s="193">
        <f t="shared" si="52"/>
        <v>3.16</v>
      </c>
      <c r="E384" s="205">
        <f t="shared" si="53"/>
        <v>427.9585998516644</v>
      </c>
      <c r="F384" s="205">
        <f t="shared" si="53"/>
        <v>201.45511142317477</v>
      </c>
      <c r="G384" s="259">
        <f t="shared" si="53"/>
        <v>199.78087664426243</v>
      </c>
    </row>
    <row r="394" spans="17:19" ht="18" customHeight="1">
      <c r="Q394" s="14"/>
      <c r="R394" s="14"/>
      <c r="S394" s="14"/>
    </row>
    <row r="395" spans="17:19" ht="18" customHeight="1">
      <c r="Q395" s="14"/>
      <c r="R395" s="14"/>
      <c r="S395" s="14"/>
    </row>
    <row r="396" spans="1:19" ht="18" customHeight="1">
      <c r="A396" s="246" t="s">
        <v>467</v>
      </c>
      <c r="Q396" s="298"/>
      <c r="R396" s="298"/>
      <c r="S396" s="298"/>
    </row>
    <row r="397" spans="1:93" s="14" customFormat="1" ht="18" customHeight="1">
      <c r="A397" s="246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298"/>
      <c r="R397" s="298"/>
      <c r="S397" s="298"/>
      <c r="AE397" s="178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</row>
    <row r="398" spans="1:31" s="14" customFormat="1" ht="18" customHeight="1">
      <c r="A398" s="246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70"/>
      <c r="R398" s="70"/>
      <c r="S398" s="70"/>
      <c r="AE398" s="110"/>
    </row>
    <row r="399" spans="1:31" s="14" customFormat="1" ht="18" customHeight="1">
      <c r="A399" s="246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299"/>
      <c r="R399" s="299"/>
      <c r="S399" s="299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298"/>
      <c r="AD399" s="298"/>
      <c r="AE399" s="144"/>
    </row>
    <row r="400" spans="1:31" s="14" customFormat="1" ht="18" customHeight="1">
      <c r="A400" s="246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299"/>
      <c r="R400" s="299"/>
      <c r="S400" s="299"/>
      <c r="T400" s="298"/>
      <c r="U400" s="298"/>
      <c r="V400" s="298"/>
      <c r="W400" s="298"/>
      <c r="X400" s="298"/>
      <c r="Y400" s="298"/>
      <c r="Z400" s="298"/>
      <c r="AA400" s="298"/>
      <c r="AB400" s="298"/>
      <c r="AC400" s="298"/>
      <c r="AD400" s="298"/>
      <c r="AE400" s="144"/>
    </row>
    <row r="401" spans="1:31" s="14" customFormat="1" ht="18" customHeight="1">
      <c r="A401" s="246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299"/>
      <c r="R401" s="299"/>
      <c r="S401" s="299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144"/>
    </row>
    <row r="402" spans="2:93" ht="18" customHeight="1">
      <c r="B402" s="14"/>
      <c r="C402" s="14"/>
      <c r="D402" s="14"/>
      <c r="E402" s="14"/>
      <c r="F402" s="14"/>
      <c r="G402" s="14"/>
      <c r="H402" s="14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180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</row>
    <row r="403" spans="2:31" ht="18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180"/>
    </row>
    <row r="404" spans="2:31" ht="18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180"/>
    </row>
    <row r="405" spans="2:31" ht="18" customHeight="1">
      <c r="B405" s="376" t="s">
        <v>309</v>
      </c>
      <c r="C405" s="188" t="s">
        <v>314</v>
      </c>
      <c r="D405" s="206" t="s">
        <v>315</v>
      </c>
      <c r="E405" s="206" t="s">
        <v>154</v>
      </c>
      <c r="F405" s="206" t="s">
        <v>316</v>
      </c>
      <c r="G405" s="374" t="s">
        <v>317</v>
      </c>
      <c r="H405" s="374"/>
      <c r="I405" s="375"/>
      <c r="J405" s="298"/>
      <c r="K405" s="298"/>
      <c r="L405" s="298"/>
      <c r="M405" s="298"/>
      <c r="N405" s="298"/>
      <c r="O405" s="298"/>
      <c r="P405" s="298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180"/>
    </row>
    <row r="406" spans="2:31" ht="18" customHeight="1">
      <c r="B406" s="377"/>
      <c r="C406" s="195" t="s">
        <v>287</v>
      </c>
      <c r="D406" s="207" t="s">
        <v>321</v>
      </c>
      <c r="E406" s="207" t="s">
        <v>322</v>
      </c>
      <c r="F406" s="207" t="s">
        <v>298</v>
      </c>
      <c r="G406" s="207" t="s">
        <v>299</v>
      </c>
      <c r="H406" s="207" t="s">
        <v>300</v>
      </c>
      <c r="I406" s="208" t="s">
        <v>301</v>
      </c>
      <c r="J406" s="298"/>
      <c r="K406" s="298"/>
      <c r="L406" s="298"/>
      <c r="M406" s="298"/>
      <c r="N406" s="298"/>
      <c r="O406" s="298"/>
      <c r="P406" s="298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180"/>
    </row>
    <row r="407" spans="2:31" ht="18" customHeight="1">
      <c r="B407" s="192" t="s">
        <v>197</v>
      </c>
      <c r="C407" s="197" t="s">
        <v>197</v>
      </c>
      <c r="D407" s="72" t="s">
        <v>302</v>
      </c>
      <c r="E407" s="72" t="s">
        <v>302</v>
      </c>
      <c r="F407" s="72" t="s">
        <v>302</v>
      </c>
      <c r="G407" s="72" t="s">
        <v>302</v>
      </c>
      <c r="H407" s="72" t="s">
        <v>302</v>
      </c>
      <c r="I407" s="71" t="s">
        <v>302</v>
      </c>
      <c r="J407" s="70"/>
      <c r="K407" s="70"/>
      <c r="L407" s="70"/>
      <c r="M407" s="70"/>
      <c r="N407" s="70"/>
      <c r="O407" s="70"/>
      <c r="P407" s="70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180"/>
    </row>
    <row r="408" spans="2:31" ht="18" customHeight="1">
      <c r="B408" s="202">
        <f>0</f>
        <v>0</v>
      </c>
      <c r="C408" s="190">
        <f>bu+(n+nb)*B408</f>
        <v>0.4</v>
      </c>
      <c r="D408" s="214">
        <f>(E364/D364+6*G364/D364^2)/1000</f>
        <v>0</v>
      </c>
      <c r="E408" s="209">
        <f>(E364/D364-6*G364/D364^2)/1000</f>
        <v>0</v>
      </c>
      <c r="F408" s="209">
        <f aca="true" t="shared" si="55" ref="F408:F428">F364/D364/1000</f>
        <v>0</v>
      </c>
      <c r="G408" s="173">
        <f>σca</f>
        <v>4.5</v>
      </c>
      <c r="H408" s="190">
        <f>-σta</f>
        <v>-0.225</v>
      </c>
      <c r="I408" s="191">
        <f>τca</f>
        <v>0.32999999999999996</v>
      </c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180"/>
    </row>
    <row r="409" spans="2:31" ht="18" customHeight="1">
      <c r="B409" s="202">
        <f aca="true" t="shared" si="56" ref="B409:B428">B408+Ha/20</f>
        <v>0.45999999999999996</v>
      </c>
      <c r="C409" s="190">
        <f aca="true" t="shared" si="57" ref="C409:C428">bu+(n+nb)*B409</f>
        <v>0.538</v>
      </c>
      <c r="D409" s="214">
        <f aca="true" t="shared" si="58" ref="D409:D428">(E365/D365+6*G365/D365^2)/1000</f>
        <v>0.004681879619914188</v>
      </c>
      <c r="E409" s="209">
        <f aca="true" t="shared" si="59" ref="E409:E428">(E365/D365-6*G365/D365^2)/1000</f>
        <v>0.014241155694692356</v>
      </c>
      <c r="F409" s="209">
        <f t="shared" si="55"/>
        <v>0.0009361296999218157</v>
      </c>
      <c r="G409" s="173">
        <f aca="true" t="shared" si="60" ref="G409:G428">σca</f>
        <v>4.5</v>
      </c>
      <c r="H409" s="190">
        <f aca="true" t="shared" si="61" ref="H409:H428">-σta</f>
        <v>-0.225</v>
      </c>
      <c r="I409" s="191">
        <f aca="true" t="shared" si="62" ref="I409:I428">τca</f>
        <v>0.32999999999999996</v>
      </c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180"/>
    </row>
    <row r="410" spans="2:31" ht="18" customHeight="1">
      <c r="B410" s="202">
        <f t="shared" si="56"/>
        <v>0.9199999999999999</v>
      </c>
      <c r="C410" s="190">
        <f t="shared" si="57"/>
        <v>0.676</v>
      </c>
      <c r="D410" s="214">
        <f t="shared" si="58"/>
        <v>0.0075078002268496626</v>
      </c>
      <c r="E410" s="209">
        <f t="shared" si="59"/>
        <v>0.0276909749166907</v>
      </c>
      <c r="F410" s="209">
        <f t="shared" si="55"/>
        <v>0.002980105198567674</v>
      </c>
      <c r="G410" s="173">
        <f t="shared" si="60"/>
        <v>4.5</v>
      </c>
      <c r="H410" s="190">
        <f t="shared" si="61"/>
        <v>-0.225</v>
      </c>
      <c r="I410" s="191">
        <f t="shared" si="62"/>
        <v>0.32999999999999996</v>
      </c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180"/>
    </row>
    <row r="411" spans="2:31" ht="18" customHeight="1">
      <c r="B411" s="202">
        <f t="shared" si="56"/>
        <v>1.38</v>
      </c>
      <c r="C411" s="190">
        <f t="shared" si="57"/>
        <v>0.8140000000000001</v>
      </c>
      <c r="D411" s="214">
        <f t="shared" si="58"/>
        <v>0.012558335157069842</v>
      </c>
      <c r="E411" s="209">
        <f t="shared" si="59"/>
        <v>0.03761529751286245</v>
      </c>
      <c r="F411" s="209">
        <f t="shared" si="55"/>
        <v>0.005568476667102495</v>
      </c>
      <c r="G411" s="173">
        <f t="shared" si="60"/>
        <v>4.5</v>
      </c>
      <c r="H411" s="190">
        <f t="shared" si="61"/>
        <v>-0.225</v>
      </c>
      <c r="I411" s="191">
        <f t="shared" si="62"/>
        <v>0.32999999999999996</v>
      </c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180"/>
    </row>
    <row r="412" spans="2:31" ht="18" customHeight="1">
      <c r="B412" s="202">
        <f t="shared" si="56"/>
        <v>1.8399999999999999</v>
      </c>
      <c r="C412" s="190">
        <f t="shared" si="57"/>
        <v>0.9520000000000001</v>
      </c>
      <c r="D412" s="214">
        <f t="shared" si="58"/>
        <v>0.019992928782143808</v>
      </c>
      <c r="E412" s="209">
        <f t="shared" si="59"/>
        <v>0.04442039893648345</v>
      </c>
      <c r="F412" s="209">
        <f t="shared" si="55"/>
        <v>0.008464500479965326</v>
      </c>
      <c r="G412" s="173">
        <f t="shared" si="60"/>
        <v>4.5</v>
      </c>
      <c r="H412" s="190">
        <f t="shared" si="61"/>
        <v>-0.225</v>
      </c>
      <c r="I412" s="191">
        <f t="shared" si="62"/>
        <v>0.32999999999999996</v>
      </c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180"/>
    </row>
    <row r="413" spans="2:31" ht="18" customHeight="1">
      <c r="B413" s="202">
        <f t="shared" si="56"/>
        <v>2.3</v>
      </c>
      <c r="C413" s="190">
        <f t="shared" si="57"/>
        <v>1.09</v>
      </c>
      <c r="D413" s="214">
        <f t="shared" si="58"/>
        <v>0.029391857216259677</v>
      </c>
      <c r="E413" s="209">
        <f t="shared" si="59"/>
        <v>0.04880522992269264</v>
      </c>
      <c r="F413" s="209">
        <f t="shared" si="55"/>
        <v>0.011551325196282956</v>
      </c>
      <c r="G413" s="173">
        <f t="shared" si="60"/>
        <v>4.5</v>
      </c>
      <c r="H413" s="190">
        <f t="shared" si="61"/>
        <v>-0.225</v>
      </c>
      <c r="I413" s="191">
        <f t="shared" si="62"/>
        <v>0.32999999999999996</v>
      </c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180"/>
    </row>
    <row r="414" spans="2:31" ht="18" customHeight="1">
      <c r="B414" s="202">
        <f t="shared" si="56"/>
        <v>2.76</v>
      </c>
      <c r="C414" s="190">
        <f t="shared" si="57"/>
        <v>1.2280000000000002</v>
      </c>
      <c r="D414" s="214">
        <f t="shared" si="58"/>
        <v>0.040330242445006444</v>
      </c>
      <c r="E414" s="209">
        <f t="shared" si="59"/>
        <v>0.05134837968308766</v>
      </c>
      <c r="F414" s="209">
        <f t="shared" si="55"/>
        <v>0.014764625430037231</v>
      </c>
      <c r="G414" s="173">
        <f t="shared" si="60"/>
        <v>4.5</v>
      </c>
      <c r="H414" s="190">
        <f t="shared" si="61"/>
        <v>-0.225</v>
      </c>
      <c r="I414" s="191">
        <f t="shared" si="62"/>
        <v>0.32999999999999996</v>
      </c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180"/>
    </row>
    <row r="415" spans="2:31" ht="18" customHeight="1">
      <c r="B415" s="202">
        <f t="shared" si="56"/>
        <v>3.2199999999999998</v>
      </c>
      <c r="C415" s="190">
        <f t="shared" si="57"/>
        <v>1.366</v>
      </c>
      <c r="D415" s="214">
        <f t="shared" si="58"/>
        <v>0.052468670540510146</v>
      </c>
      <c r="E415" s="209">
        <f t="shared" si="59"/>
        <v>0.05248085871546186</v>
      </c>
      <c r="F415" s="209">
        <f t="shared" si="55"/>
        <v>0.018066069655445754</v>
      </c>
      <c r="G415" s="173">
        <f t="shared" si="60"/>
        <v>4.5</v>
      </c>
      <c r="H415" s="190">
        <f t="shared" si="61"/>
        <v>-0.225</v>
      </c>
      <c r="I415" s="191">
        <f t="shared" si="62"/>
        <v>0.32999999999999996</v>
      </c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180"/>
    </row>
    <row r="416" spans="2:31" ht="18" customHeight="1">
      <c r="B416" s="202">
        <f t="shared" si="56"/>
        <v>3.6799999999999997</v>
      </c>
      <c r="C416" s="190">
        <f t="shared" si="57"/>
        <v>1.504</v>
      </c>
      <c r="D416" s="214">
        <f t="shared" si="58"/>
        <v>0.06554991273129347</v>
      </c>
      <c r="E416" s="209">
        <f t="shared" si="59"/>
        <v>0.0525178744711883</v>
      </c>
      <c r="F416" s="209">
        <f t="shared" si="55"/>
        <v>0.02143139483225263</v>
      </c>
      <c r="G416" s="173">
        <f t="shared" si="60"/>
        <v>4.5</v>
      </c>
      <c r="H416" s="190">
        <f t="shared" si="61"/>
        <v>-0.225</v>
      </c>
      <c r="I416" s="191">
        <f t="shared" si="62"/>
        <v>0.32999999999999996</v>
      </c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180"/>
    </row>
    <row r="417" spans="2:31" ht="18" customHeight="1">
      <c r="B417" s="202">
        <f t="shared" si="56"/>
        <v>4.14</v>
      </c>
      <c r="C417" s="190">
        <f t="shared" si="57"/>
        <v>1.642</v>
      </c>
      <c r="D417" s="214">
        <f t="shared" si="58"/>
        <v>0.07938070446706998</v>
      </c>
      <c r="E417" s="209">
        <f t="shared" si="59"/>
        <v>0.051691179174783865</v>
      </c>
      <c r="F417" s="209">
        <f t="shared" si="55"/>
        <v>0.02484449455736473</v>
      </c>
      <c r="G417" s="173">
        <f t="shared" si="60"/>
        <v>4.5</v>
      </c>
      <c r="H417" s="190">
        <f t="shared" si="61"/>
        <v>-0.225</v>
      </c>
      <c r="I417" s="191">
        <f t="shared" si="62"/>
        <v>0.32999999999999996</v>
      </c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180"/>
    </row>
    <row r="418" spans="2:31" ht="18" customHeight="1">
      <c r="B418" s="202">
        <f t="shared" si="56"/>
        <v>4.6</v>
      </c>
      <c r="C418" s="190">
        <f t="shared" si="57"/>
        <v>1.7800000000000002</v>
      </c>
      <c r="D418" s="214">
        <f t="shared" si="58"/>
        <v>0.09381499950746047</v>
      </c>
      <c r="E418" s="209">
        <f t="shared" si="59"/>
        <v>0.05017337123738903</v>
      </c>
      <c r="F418" s="209">
        <f t="shared" si="55"/>
        <v>0.028294257222356</v>
      </c>
      <c r="G418" s="173">
        <f t="shared" si="60"/>
        <v>4.5</v>
      </c>
      <c r="H418" s="190">
        <f t="shared" si="61"/>
        <v>-0.225</v>
      </c>
      <c r="I418" s="191">
        <f t="shared" si="62"/>
        <v>0.32999999999999996</v>
      </c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180"/>
    </row>
    <row r="419" spans="2:31" ht="18" customHeight="1">
      <c r="B419" s="202">
        <f t="shared" si="56"/>
        <v>5.06</v>
      </c>
      <c r="C419" s="190">
        <f t="shared" si="57"/>
        <v>1.9180000000000001</v>
      </c>
      <c r="D419" s="214">
        <f t="shared" si="58"/>
        <v>0.10874122838932791</v>
      </c>
      <c r="E419" s="209">
        <f t="shared" si="59"/>
        <v>0.048094930583694434</v>
      </c>
      <c r="F419" s="209">
        <f t="shared" si="55"/>
        <v>0.031772769137388086</v>
      </c>
      <c r="G419" s="173">
        <f t="shared" si="60"/>
        <v>4.5</v>
      </c>
      <c r="H419" s="190">
        <f t="shared" si="61"/>
        <v>-0.225</v>
      </c>
      <c r="I419" s="191">
        <f t="shared" si="62"/>
        <v>0.32999999999999996</v>
      </c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180"/>
    </row>
    <row r="420" spans="2:30" ht="18" customHeight="1">
      <c r="B420" s="202">
        <f t="shared" si="56"/>
        <v>5.52</v>
      </c>
      <c r="C420" s="190">
        <f t="shared" si="57"/>
        <v>2.056</v>
      </c>
      <c r="D420" s="214">
        <f t="shared" si="58"/>
        <v>0.12407309330544472</v>
      </c>
      <c r="E420" s="209">
        <f t="shared" si="59"/>
        <v>0.045555988354671215</v>
      </c>
      <c r="F420" s="209">
        <f t="shared" si="55"/>
        <v>0.03527424129977767</v>
      </c>
      <c r="G420" s="173">
        <f t="shared" si="60"/>
        <v>4.5</v>
      </c>
      <c r="H420" s="190">
        <f t="shared" si="61"/>
        <v>-0.225</v>
      </c>
      <c r="I420" s="191">
        <f t="shared" si="62"/>
        <v>0.32999999999999996</v>
      </c>
      <c r="J420" s="299"/>
      <c r="K420" s="299"/>
      <c r="L420" s="299"/>
      <c r="M420" s="299"/>
      <c r="N420" s="299"/>
      <c r="O420" s="299"/>
      <c r="P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</row>
    <row r="421" spans="2:30" ht="18" customHeight="1">
      <c r="B421" s="202">
        <f t="shared" si="56"/>
        <v>5.9799999999999995</v>
      </c>
      <c r="C421" s="190">
        <f t="shared" si="57"/>
        <v>2.194</v>
      </c>
      <c r="D421" s="214">
        <f t="shared" si="58"/>
        <v>0.1397430003968733</v>
      </c>
      <c r="E421" s="209">
        <f t="shared" si="59"/>
        <v>0.04263449134180328</v>
      </c>
      <c r="F421" s="209">
        <f t="shared" si="55"/>
        <v>0.03879434119247554</v>
      </c>
      <c r="G421" s="173">
        <f t="shared" si="60"/>
        <v>4.5</v>
      </c>
      <c r="H421" s="190">
        <f t="shared" si="61"/>
        <v>-0.225</v>
      </c>
      <c r="I421" s="191">
        <f t="shared" si="62"/>
        <v>0.32999999999999996</v>
      </c>
      <c r="J421" s="299"/>
      <c r="K421" s="299"/>
      <c r="L421" s="299"/>
      <c r="M421" s="299"/>
      <c r="N421" s="299"/>
      <c r="O421" s="299"/>
      <c r="P421" s="299"/>
      <c r="Q421" s="70"/>
      <c r="R421" s="70"/>
      <c r="S421" s="70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</row>
    <row r="422" spans="2:30" ht="18" customHeight="1">
      <c r="B422" s="202">
        <f t="shared" si="56"/>
        <v>6.4399999999999995</v>
      </c>
      <c r="C422" s="190">
        <f t="shared" si="57"/>
        <v>2.3320000000000003</v>
      </c>
      <c r="D422" s="214">
        <f t="shared" si="58"/>
        <v>0.15569736296234907</v>
      </c>
      <c r="E422" s="209">
        <f t="shared" si="59"/>
        <v>0.03939192857051157</v>
      </c>
      <c r="F422" s="209">
        <f t="shared" si="55"/>
        <v>0.04232976183420051</v>
      </c>
      <c r="G422" s="173">
        <f t="shared" si="60"/>
        <v>4.5</v>
      </c>
      <c r="H422" s="190">
        <f t="shared" si="61"/>
        <v>-0.225</v>
      </c>
      <c r="I422" s="191">
        <f t="shared" si="62"/>
        <v>0.32999999999999996</v>
      </c>
      <c r="J422" s="299"/>
      <c r="K422" s="299"/>
      <c r="L422" s="299"/>
      <c r="M422" s="299"/>
      <c r="N422" s="299"/>
      <c r="O422" s="299"/>
      <c r="P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</row>
    <row r="423" spans="2:19" ht="18" customHeight="1">
      <c r="B423" s="202">
        <f t="shared" si="56"/>
        <v>6.8999999999999995</v>
      </c>
      <c r="C423" s="190">
        <f t="shared" si="57"/>
        <v>2.47</v>
      </c>
      <c r="D423" s="214">
        <f t="shared" si="58"/>
        <v>0.1718932141077098</v>
      </c>
      <c r="E423" s="209">
        <f t="shared" si="59"/>
        <v>0.035877403233635266</v>
      </c>
      <c r="F423" s="209">
        <f t="shared" si="55"/>
        <v>0.04587793529373919</v>
      </c>
      <c r="G423" s="173">
        <f t="shared" si="60"/>
        <v>4.5</v>
      </c>
      <c r="H423" s="190">
        <f t="shared" si="61"/>
        <v>-0.225</v>
      </c>
      <c r="I423" s="191">
        <f t="shared" si="62"/>
        <v>0.32999999999999996</v>
      </c>
      <c r="J423" s="299"/>
      <c r="K423" s="299"/>
      <c r="L423" s="299"/>
      <c r="M423" s="299"/>
      <c r="N423" s="299"/>
      <c r="O423" s="299"/>
      <c r="P423" s="299"/>
      <c r="Q423" s="174"/>
      <c r="R423" s="174"/>
      <c r="S423" s="174"/>
    </row>
    <row r="424" spans="2:30" ht="18" customHeight="1">
      <c r="B424" s="202">
        <f t="shared" si="56"/>
        <v>7.359999999999999</v>
      </c>
      <c r="C424" s="190">
        <f t="shared" si="57"/>
        <v>2.608</v>
      </c>
      <c r="D424" s="214">
        <f>(E380/D380+6*G380/D380^2)/1000</f>
        <v>0.18829573679299194</v>
      </c>
      <c r="E424" s="209">
        <f t="shared" si="59"/>
        <v>0.03213056988267154</v>
      </c>
      <c r="F424" s="209">
        <f t="shared" si="55"/>
        <v>0.04943683715906129</v>
      </c>
      <c r="G424" s="173">
        <f t="shared" si="60"/>
        <v>4.5</v>
      </c>
      <c r="H424" s="190">
        <f t="shared" si="61"/>
        <v>-0.225</v>
      </c>
      <c r="I424" s="191">
        <f t="shared" si="62"/>
        <v>0.32999999999999996</v>
      </c>
      <c r="J424" s="299"/>
      <c r="K424" s="299"/>
      <c r="L424" s="299"/>
      <c r="M424" s="299"/>
      <c r="N424" s="299"/>
      <c r="O424" s="299"/>
      <c r="P424" s="299"/>
      <c r="Q424" s="174"/>
      <c r="R424" s="174"/>
      <c r="S424" s="174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</row>
    <row r="425" spans="2:19" ht="18" customHeight="1">
      <c r="B425" s="202">
        <f t="shared" si="56"/>
        <v>7.819999999999999</v>
      </c>
      <c r="C425" s="190">
        <f t="shared" si="57"/>
        <v>2.746</v>
      </c>
      <c r="D425" s="214">
        <f t="shared" si="58"/>
        <v>0.2048764413510881</v>
      </c>
      <c r="E425" s="209">
        <f t="shared" si="59"/>
        <v>0.028183783261313593</v>
      </c>
      <c r="F425" s="209">
        <f t="shared" si="55"/>
        <v>0.05300484996476466</v>
      </c>
      <c r="G425" s="173">
        <f t="shared" si="60"/>
        <v>4.5</v>
      </c>
      <c r="H425" s="190">
        <f t="shared" si="61"/>
        <v>-0.225</v>
      </c>
      <c r="I425" s="191">
        <f t="shared" si="62"/>
        <v>0.32999999999999996</v>
      </c>
      <c r="J425" s="299"/>
      <c r="K425" s="299"/>
      <c r="L425" s="299"/>
      <c r="M425" s="299"/>
      <c r="N425" s="299"/>
      <c r="O425" s="299"/>
      <c r="P425" s="299"/>
      <c r="Q425" s="174"/>
      <c r="R425" s="174"/>
      <c r="S425" s="174"/>
    </row>
    <row r="426" spans="2:30" ht="18" customHeight="1">
      <c r="B426" s="202">
        <f t="shared" si="56"/>
        <v>8.28</v>
      </c>
      <c r="C426" s="190">
        <f t="shared" si="57"/>
        <v>2.884</v>
      </c>
      <c r="D426" s="214">
        <f t="shared" si="58"/>
        <v>0.22161180463520386</v>
      </c>
      <c r="E426" s="209">
        <f t="shared" si="59"/>
        <v>0.02406369181406666</v>
      </c>
      <c r="F426" s="209">
        <f t="shared" si="55"/>
        <v>0.05658066582967113</v>
      </c>
      <c r="G426" s="173">
        <f t="shared" si="60"/>
        <v>4.5</v>
      </c>
      <c r="H426" s="190">
        <f t="shared" si="61"/>
        <v>-0.225</v>
      </c>
      <c r="I426" s="191">
        <f t="shared" si="62"/>
        <v>0.32999999999999996</v>
      </c>
      <c r="J426" s="299"/>
      <c r="K426" s="299"/>
      <c r="L426" s="299"/>
      <c r="M426" s="299"/>
      <c r="N426" s="299"/>
      <c r="O426" s="299"/>
      <c r="P426" s="299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</row>
    <row r="427" spans="2:30" ht="18" customHeight="1">
      <c r="B427" s="202">
        <f t="shared" si="56"/>
        <v>8.739999999999998</v>
      </c>
      <c r="C427" s="190">
        <f t="shared" si="57"/>
        <v>3.022</v>
      </c>
      <c r="D427" s="214">
        <f t="shared" si="58"/>
        <v>0.2384822420267821</v>
      </c>
      <c r="E427" s="209">
        <f t="shared" si="59"/>
        <v>0.01979243458878844</v>
      </c>
      <c r="F427" s="209">
        <f t="shared" si="55"/>
        <v>0.06016321577081906</v>
      </c>
      <c r="G427" s="173">
        <f>σca</f>
        <v>4.5</v>
      </c>
      <c r="H427" s="190">
        <f>-σta</f>
        <v>-0.225</v>
      </c>
      <c r="I427" s="191">
        <f>τca</f>
        <v>0.32999999999999996</v>
      </c>
      <c r="J427" s="299"/>
      <c r="K427" s="299"/>
      <c r="L427" s="299"/>
      <c r="M427" s="299"/>
      <c r="N427" s="299"/>
      <c r="O427" s="299"/>
      <c r="P427" s="299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</row>
    <row r="428" spans="2:30" ht="18" customHeight="1">
      <c r="B428" s="204">
        <f t="shared" si="56"/>
        <v>9.2</v>
      </c>
      <c r="C428" s="193">
        <f t="shared" si="57"/>
        <v>3.16</v>
      </c>
      <c r="D428" s="214">
        <f t="shared" si="58"/>
        <v>0.2554713222437143</v>
      </c>
      <c r="E428" s="209">
        <f t="shared" si="59"/>
        <v>0.015388551080123875</v>
      </c>
      <c r="F428" s="210">
        <f t="shared" si="55"/>
        <v>0.06375161753897936</v>
      </c>
      <c r="G428" s="197">
        <f t="shared" si="60"/>
        <v>4.5</v>
      </c>
      <c r="H428" s="193">
        <f t="shared" si="61"/>
        <v>-0.225</v>
      </c>
      <c r="I428" s="194">
        <f t="shared" si="62"/>
        <v>0.32999999999999996</v>
      </c>
      <c r="J428" s="299"/>
      <c r="K428" s="299"/>
      <c r="L428" s="299"/>
      <c r="M428" s="299"/>
      <c r="N428" s="299"/>
      <c r="O428" s="299"/>
      <c r="P428" s="299"/>
      <c r="Q428" s="110"/>
      <c r="R428" s="110"/>
      <c r="S428" s="110"/>
      <c r="T428" s="174"/>
      <c r="U428" s="174"/>
      <c r="V428" s="174"/>
      <c r="W428" s="174"/>
      <c r="X428" s="174"/>
      <c r="Y428" s="174"/>
      <c r="Z428" s="174"/>
      <c r="AA428" s="174"/>
      <c r="AB428" s="174"/>
      <c r="AC428" s="174"/>
      <c r="AD428" s="174"/>
    </row>
    <row r="429" spans="3:6" ht="18" customHeight="1">
      <c r="C429" s="86" t="s">
        <v>204</v>
      </c>
      <c r="D429" s="215">
        <f>MAX(D408:D428)</f>
        <v>0.2554713222437143</v>
      </c>
      <c r="E429" s="212">
        <f>MAX(E408:E428)</f>
        <v>0.0525178744711883</v>
      </c>
      <c r="F429" s="212">
        <f>MAX(F408:F428)</f>
        <v>0.06375161753897936</v>
      </c>
    </row>
    <row r="430" spans="2:16" ht="18" customHeight="1">
      <c r="B430" s="78"/>
      <c r="C430" s="211" t="s">
        <v>205</v>
      </c>
      <c r="D430" s="216">
        <f>MIN(D408:D428)</f>
        <v>0</v>
      </c>
      <c r="E430" s="210">
        <f>MIN(E408:E428)</f>
        <v>0</v>
      </c>
      <c r="F430" s="210">
        <f>MIN(F408:F428)</f>
        <v>0</v>
      </c>
      <c r="G430" s="78"/>
      <c r="H430" s="78"/>
      <c r="I430" s="78"/>
      <c r="J430" s="70"/>
      <c r="K430" s="70"/>
      <c r="L430" s="70"/>
      <c r="M430" s="70"/>
      <c r="N430" s="70"/>
      <c r="O430" s="70"/>
      <c r="P430" s="70"/>
    </row>
    <row r="431" spans="20:30" ht="18" customHeight="1"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</row>
    <row r="432" spans="2:16" ht="18" customHeight="1">
      <c r="B432" s="111" t="s">
        <v>303</v>
      </c>
      <c r="C432" s="111" t="s">
        <v>430</v>
      </c>
      <c r="D432" s="331">
        <f>D429</f>
        <v>0.2554713222437143</v>
      </c>
      <c r="E432" s="13" t="s">
        <v>304</v>
      </c>
      <c r="F432" s="174" t="str">
        <f>IF(D432&lt;=G432,"&lt;","&gt;")</f>
        <v>&lt;</v>
      </c>
      <c r="G432" s="174">
        <f>σca</f>
        <v>4.5</v>
      </c>
      <c r="H432" s="13" t="s">
        <v>304</v>
      </c>
      <c r="I432" s="174" t="str">
        <f>IF(D432&gt;G432,"OUT","SAFE")</f>
        <v>SAFE</v>
      </c>
      <c r="J432" s="174"/>
      <c r="K432" s="174"/>
      <c r="L432" s="174"/>
      <c r="M432" s="174"/>
      <c r="N432" s="174"/>
      <c r="O432" s="174"/>
      <c r="P432" s="174"/>
    </row>
    <row r="433" spans="2:16" ht="18" customHeight="1">
      <c r="B433" s="111" t="s">
        <v>206</v>
      </c>
      <c r="C433" s="111" t="s">
        <v>431</v>
      </c>
      <c r="D433" s="331">
        <f>E430</f>
        <v>0</v>
      </c>
      <c r="E433" s="13" t="s">
        <v>305</v>
      </c>
      <c r="F433" s="174" t="str">
        <f>IF(D433&lt;=G433,"&lt;","&gt;")</f>
        <v>&gt;</v>
      </c>
      <c r="G433" s="331">
        <f>-σta</f>
        <v>-0.225</v>
      </c>
      <c r="H433" s="13" t="s">
        <v>305</v>
      </c>
      <c r="I433" s="174" t="str">
        <f>IF(D433&lt;G433,"OUT","SAFE")</f>
        <v>SAFE</v>
      </c>
      <c r="J433" s="174"/>
      <c r="K433" s="174"/>
      <c r="L433" s="174"/>
      <c r="M433" s="174"/>
      <c r="N433" s="174"/>
      <c r="O433" s="174"/>
      <c r="P433" s="174"/>
    </row>
    <row r="434" spans="2:16" ht="18" customHeight="1">
      <c r="B434" s="111" t="s">
        <v>207</v>
      </c>
      <c r="C434" s="111" t="s">
        <v>432</v>
      </c>
      <c r="D434" s="331">
        <f>F429</f>
        <v>0.06375161753897936</v>
      </c>
      <c r="E434" s="13" t="s">
        <v>306</v>
      </c>
      <c r="F434" s="174" t="str">
        <f>IF(D434&lt;=G434,"&lt;","&gt;")</f>
        <v>&lt;</v>
      </c>
      <c r="G434" s="174">
        <f>τca</f>
        <v>0.32999999999999996</v>
      </c>
      <c r="H434" s="13" t="s">
        <v>306</v>
      </c>
      <c r="I434" s="174" t="str">
        <f>IF(D434&gt;G434,"OUT","SAFE")</f>
        <v>SAFE</v>
      </c>
      <c r="J434" s="174"/>
      <c r="K434" s="174"/>
      <c r="L434" s="174"/>
      <c r="M434" s="174"/>
      <c r="N434" s="174"/>
      <c r="O434" s="174"/>
      <c r="P434" s="174"/>
    </row>
    <row r="435" spans="2:7" ht="18" customHeight="1">
      <c r="B435" s="70"/>
      <c r="C435" s="70"/>
      <c r="D435" s="70"/>
      <c r="E435" s="70"/>
      <c r="F435" s="70"/>
      <c r="G435" s="70"/>
    </row>
    <row r="436" spans="2:7" ht="18" customHeight="1">
      <c r="B436" s="113">
        <f>IF(I433="OUT","たて壁に鉄筋を配置する必要がある．","")</f>
      </c>
      <c r="C436" s="70"/>
      <c r="D436" s="70"/>
      <c r="E436" s="70"/>
      <c r="F436" s="70"/>
      <c r="G436" s="70"/>
    </row>
    <row r="437" spans="2:16" ht="18" customHeight="1">
      <c r="B437" s="113">
        <f>IF(I433="OUT","天端からの鉄筋配置必要範囲","")</f>
      </c>
      <c r="C437" s="111"/>
      <c r="D437" s="14"/>
      <c r="E437" s="233">
        <f>IF(I433="OUT","z=","")</f>
      </c>
      <c r="F437" s="87">
        <f>IF($I$433="OUT",VLOOKUP($AF$564,$AF$543:$AJ$563,2,FALSE)+180/(4*τoa)*data!J12/1000,"")</f>
      </c>
      <c r="G437" s="234">
        <f>IF(I433="OUT","m","")</f>
      </c>
      <c r="H437" s="25"/>
      <c r="I437" s="110"/>
      <c r="J437" s="110"/>
      <c r="L437" s="110"/>
      <c r="M437" s="110"/>
      <c r="N437" s="110"/>
      <c r="O437" s="87"/>
      <c r="P437" s="87"/>
    </row>
    <row r="453" ht="18" customHeight="1">
      <c r="A453" s="246" t="s">
        <v>468</v>
      </c>
    </row>
    <row r="454" ht="18" customHeight="1">
      <c r="B454" s="108" t="s">
        <v>328</v>
      </c>
    </row>
    <row r="457" spans="4:19" ht="18" customHeight="1">
      <c r="D457" s="95"/>
      <c r="Q457" s="14"/>
      <c r="R457" s="14"/>
      <c r="S457" s="14"/>
    </row>
    <row r="458" spans="17:19" ht="18" customHeight="1">
      <c r="Q458" s="14"/>
      <c r="R458" s="14"/>
      <c r="S458" s="14"/>
    </row>
    <row r="459" spans="17:19" ht="18" customHeight="1">
      <c r="Q459" s="14"/>
      <c r="R459" s="14"/>
      <c r="S459" s="14"/>
    </row>
    <row r="460" spans="17:30" ht="18" customHeight="1"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7:30" ht="18" customHeight="1"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7:30" ht="18" customHeight="1"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7:30" ht="18" customHeight="1"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7:30" ht="18" customHeight="1"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7:30" ht="18" customHeight="1"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2:30" ht="18" customHeight="1">
      <c r="B466" s="14"/>
      <c r="C466" s="217" t="s">
        <v>329</v>
      </c>
      <c r="D466" s="56" t="s">
        <v>330</v>
      </c>
      <c r="E466" s="110">
        <v>1000</v>
      </c>
      <c r="F466" s="14" t="s">
        <v>331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2:30" ht="18" customHeight="1">
      <c r="B467" s="14"/>
      <c r="C467" s="217" t="s">
        <v>332</v>
      </c>
      <c r="D467" s="56" t="s">
        <v>333</v>
      </c>
      <c r="E467" s="110">
        <f>D60</f>
      </c>
      <c r="F467" s="14" t="s">
        <v>334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2:30" ht="18" customHeight="1">
      <c r="B468" s="14"/>
      <c r="C468" s="217" t="s">
        <v>335</v>
      </c>
      <c r="D468" s="56"/>
      <c r="E468" s="110">
        <f>D58</f>
      </c>
      <c r="F468" s="14" t="s">
        <v>331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2:30" ht="18" customHeight="1">
      <c r="B469" s="14"/>
      <c r="C469" s="217" t="s">
        <v>336</v>
      </c>
      <c r="D469" s="56" t="s">
        <v>337</v>
      </c>
      <c r="E469" s="110">
        <f>data!I12</f>
        <v>0</v>
      </c>
      <c r="F469" s="14" t="s">
        <v>338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2:30" ht="18" customHeight="1">
      <c r="B470" s="14"/>
      <c r="C470" s="217" t="s">
        <v>339</v>
      </c>
      <c r="D470" s="56" t="s">
        <v>340</v>
      </c>
      <c r="E470" s="110">
        <f>IF(S45=1,0,1000/D59)</f>
        <v>0</v>
      </c>
      <c r="F470" s="95" t="s">
        <v>341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2:30" ht="18" customHeight="1">
      <c r="B471" s="14"/>
      <c r="C471" s="217" t="s">
        <v>342</v>
      </c>
      <c r="D471" s="56" t="s">
        <v>343</v>
      </c>
      <c r="E471" s="110">
        <f>IF(S45=1,0,IF(AE107=1,0,E469*E470))</f>
        <v>0</v>
      </c>
      <c r="F471" s="14" t="s">
        <v>344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300"/>
      <c r="R471" s="300"/>
      <c r="S471" s="300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2:30" ht="18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300"/>
      <c r="R472" s="300"/>
      <c r="S472" s="300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2:30" ht="18" customHeight="1">
      <c r="B473" s="14"/>
      <c r="C473" s="95"/>
      <c r="D473" s="14"/>
      <c r="E473" s="14"/>
      <c r="F473" s="95"/>
      <c r="G473" s="14"/>
      <c r="H473" s="218"/>
      <c r="I473" s="14"/>
      <c r="J473" s="14"/>
      <c r="K473" s="14"/>
      <c r="L473" s="14"/>
      <c r="M473" s="14"/>
      <c r="N473" s="14"/>
      <c r="O473" s="14"/>
      <c r="P473" s="14"/>
      <c r="Q473" s="20"/>
      <c r="R473" s="20"/>
      <c r="S473" s="20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2:30" ht="18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301"/>
      <c r="R474" s="301"/>
      <c r="S474" s="301"/>
      <c r="T474" s="300"/>
      <c r="U474" s="300"/>
      <c r="V474" s="300"/>
      <c r="W474" s="300"/>
      <c r="X474" s="300"/>
      <c r="Y474" s="300"/>
      <c r="Z474" s="300"/>
      <c r="AA474" s="300"/>
      <c r="AB474" s="300"/>
      <c r="AC474" s="300"/>
      <c r="AD474" s="300"/>
    </row>
    <row r="475" spans="2:30" ht="18" customHeight="1">
      <c r="B475" s="14"/>
      <c r="C475" s="95"/>
      <c r="D475" s="14"/>
      <c r="E475" s="48"/>
      <c r="F475" s="14"/>
      <c r="G475" s="108"/>
      <c r="H475" s="48"/>
      <c r="I475" s="14"/>
      <c r="J475" s="14"/>
      <c r="K475" s="14"/>
      <c r="L475" s="14"/>
      <c r="M475" s="14"/>
      <c r="N475" s="14"/>
      <c r="O475" s="14"/>
      <c r="P475" s="14"/>
      <c r="Q475" s="301"/>
      <c r="R475" s="301"/>
      <c r="S475" s="301"/>
      <c r="T475" s="300"/>
      <c r="U475" s="300"/>
      <c r="V475" s="300"/>
      <c r="W475" s="300"/>
      <c r="X475" s="300"/>
      <c r="Y475" s="300"/>
      <c r="Z475" s="300"/>
      <c r="AA475" s="300"/>
      <c r="AB475" s="300"/>
      <c r="AC475" s="300"/>
      <c r="AD475" s="300"/>
    </row>
    <row r="476" spans="2:30" ht="18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301"/>
      <c r="R476" s="301"/>
      <c r="S476" s="301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2:30" ht="18" customHeight="1">
      <c r="B477" s="14"/>
      <c r="C477" s="9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301"/>
      <c r="R477" s="301"/>
      <c r="S477" s="301"/>
      <c r="T477" s="301"/>
      <c r="U477" s="301"/>
      <c r="V477" s="301"/>
      <c r="W477" s="301"/>
      <c r="X477" s="301"/>
      <c r="Y477" s="301"/>
      <c r="Z477" s="301"/>
      <c r="AA477" s="301"/>
      <c r="AB477" s="301"/>
      <c r="AC477" s="301"/>
      <c r="AD477" s="301"/>
    </row>
    <row r="478" spans="2:30" ht="18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301"/>
      <c r="R478" s="301"/>
      <c r="S478" s="301"/>
      <c r="T478" s="301"/>
      <c r="U478" s="301"/>
      <c r="V478" s="301"/>
      <c r="W478" s="301"/>
      <c r="X478" s="301"/>
      <c r="Y478" s="301"/>
      <c r="Z478" s="301"/>
      <c r="AA478" s="301"/>
      <c r="AB478" s="301"/>
      <c r="AC478" s="301"/>
      <c r="AD478" s="301"/>
    </row>
    <row r="479" spans="2:30" ht="18" customHeight="1">
      <c r="B479" s="14"/>
      <c r="C479" s="14"/>
      <c r="D479" s="14"/>
      <c r="E479" s="109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301"/>
      <c r="R479" s="301"/>
      <c r="S479" s="301"/>
      <c r="T479" s="301"/>
      <c r="U479" s="301"/>
      <c r="V479" s="301"/>
      <c r="W479" s="301"/>
      <c r="X479" s="301"/>
      <c r="Y479" s="301"/>
      <c r="Z479" s="301"/>
      <c r="AA479" s="301"/>
      <c r="AB479" s="301"/>
      <c r="AC479" s="301"/>
      <c r="AD479" s="301"/>
    </row>
    <row r="480" spans="1:30" ht="18" customHeight="1">
      <c r="A480" s="361" t="s">
        <v>469</v>
      </c>
      <c r="B480" s="188" t="s">
        <v>345</v>
      </c>
      <c r="C480" s="219" t="s">
        <v>346</v>
      </c>
      <c r="D480" s="219" t="s">
        <v>347</v>
      </c>
      <c r="E480" s="219" t="s">
        <v>348</v>
      </c>
      <c r="F480" s="363" t="s">
        <v>349</v>
      </c>
      <c r="G480" s="364"/>
      <c r="H480" s="363" t="s">
        <v>350</v>
      </c>
      <c r="I480" s="365"/>
      <c r="J480" s="300"/>
      <c r="K480" s="300"/>
      <c r="L480" s="300"/>
      <c r="M480" s="300"/>
      <c r="N480" s="300"/>
      <c r="O480" s="300"/>
      <c r="P480" s="300"/>
      <c r="Q480" s="301"/>
      <c r="R480" s="301"/>
      <c r="S480" s="301"/>
      <c r="T480" s="301"/>
      <c r="U480" s="301"/>
      <c r="V480" s="301"/>
      <c r="W480" s="301"/>
      <c r="X480" s="301"/>
      <c r="Y480" s="301"/>
      <c r="Z480" s="301"/>
      <c r="AA480" s="301"/>
      <c r="AB480" s="301"/>
      <c r="AC480" s="301"/>
      <c r="AD480" s="301"/>
    </row>
    <row r="481" spans="1:30" ht="18" customHeight="1">
      <c r="A481" s="362"/>
      <c r="B481" s="195" t="s">
        <v>351</v>
      </c>
      <c r="C481" s="195" t="s">
        <v>352</v>
      </c>
      <c r="D481" s="195" t="s">
        <v>353</v>
      </c>
      <c r="E481" s="366" t="s">
        <v>354</v>
      </c>
      <c r="F481" s="368" t="s">
        <v>355</v>
      </c>
      <c r="G481" s="368" t="s">
        <v>356</v>
      </c>
      <c r="H481" s="220" t="s">
        <v>452</v>
      </c>
      <c r="I481" s="221" t="s">
        <v>453</v>
      </c>
      <c r="J481" s="300"/>
      <c r="K481" s="300"/>
      <c r="L481" s="300"/>
      <c r="M481" s="300"/>
      <c r="N481" s="300"/>
      <c r="O481" s="300"/>
      <c r="P481" s="300"/>
      <c r="Q481" s="301"/>
      <c r="R481" s="301"/>
      <c r="S481" s="301"/>
      <c r="T481" s="301"/>
      <c r="U481" s="301"/>
      <c r="V481" s="301"/>
      <c r="W481" s="301"/>
      <c r="X481" s="301"/>
      <c r="Y481" s="301"/>
      <c r="Z481" s="301"/>
      <c r="AA481" s="301"/>
      <c r="AB481" s="301"/>
      <c r="AC481" s="301"/>
      <c r="AD481" s="301"/>
    </row>
    <row r="482" spans="1:30" ht="18" customHeight="1">
      <c r="A482" s="315" t="s">
        <v>12</v>
      </c>
      <c r="B482" s="140" t="s">
        <v>12</v>
      </c>
      <c r="C482" s="140" t="s">
        <v>357</v>
      </c>
      <c r="D482" s="140" t="s">
        <v>358</v>
      </c>
      <c r="E482" s="367"/>
      <c r="F482" s="369"/>
      <c r="G482" s="369"/>
      <c r="H482" s="140" t="s">
        <v>359</v>
      </c>
      <c r="I482" s="31" t="s">
        <v>359</v>
      </c>
      <c r="J482" s="20"/>
      <c r="K482" s="20"/>
      <c r="L482" s="20"/>
      <c r="M482" s="20"/>
      <c r="N482" s="20"/>
      <c r="O482" s="20"/>
      <c r="P482" s="20"/>
      <c r="Q482" s="301"/>
      <c r="R482" s="301"/>
      <c r="S482" s="301"/>
      <c r="T482" s="301"/>
      <c r="U482" s="301"/>
      <c r="V482" s="301"/>
      <c r="W482" s="301"/>
      <c r="X482" s="301"/>
      <c r="Y482" s="301"/>
      <c r="Z482" s="301"/>
      <c r="AA482" s="301"/>
      <c r="AB482" s="301"/>
      <c r="AC482" s="301"/>
      <c r="AD482" s="301"/>
    </row>
    <row r="483" spans="1:30" ht="18" customHeight="1">
      <c r="A483" s="316">
        <f>C364</f>
        <v>0</v>
      </c>
      <c r="B483" s="222">
        <f>D364</f>
        <v>0.4</v>
      </c>
      <c r="C483" s="223">
        <f aca="true" t="shared" si="63" ref="C483:C503">IF($S$45=1,0,G364)</f>
        <v>0</v>
      </c>
      <c r="D483" s="136">
        <f>IF(data!$B$21=1,B483*1000,B483*1000-$E$467)</f>
        <v>400</v>
      </c>
      <c r="E483" s="224">
        <f>15*$E$471/1000/D483</f>
        <v>0</v>
      </c>
      <c r="F483" s="224">
        <f>(E483^2+2*E483)^0.5-E483</f>
        <v>0</v>
      </c>
      <c r="G483" s="224">
        <f>1-F483/3</f>
        <v>1</v>
      </c>
      <c r="H483" s="183" t="str">
        <f aca="true" t="shared" si="64" ref="H483:H503">IF($S$45=1,"***",2*C483*1000000/(F483*G483*1000*D483^2))</f>
        <v>***</v>
      </c>
      <c r="I483" s="184" t="str">
        <f aca="true" t="shared" si="65" ref="I483:I503">IF($S$45=1,"***",C483*1000000/($E$471*G483*D483))</f>
        <v>***</v>
      </c>
      <c r="J483" s="301"/>
      <c r="K483" s="301"/>
      <c r="L483" s="301"/>
      <c r="M483" s="301"/>
      <c r="N483" s="301"/>
      <c r="O483" s="301"/>
      <c r="P483" s="301"/>
      <c r="Q483" s="301"/>
      <c r="R483" s="301"/>
      <c r="S483" s="301"/>
      <c r="T483" s="301"/>
      <c r="U483" s="301"/>
      <c r="V483" s="301"/>
      <c r="W483" s="301"/>
      <c r="X483" s="301"/>
      <c r="Y483" s="301"/>
      <c r="Z483" s="301"/>
      <c r="AA483" s="301"/>
      <c r="AB483" s="301"/>
      <c r="AC483" s="301"/>
      <c r="AD483" s="301"/>
    </row>
    <row r="484" spans="1:30" ht="18" customHeight="1">
      <c r="A484" s="316">
        <f aca="true" t="shared" si="66" ref="A484:A493">C365</f>
        <v>0.45999999999999996</v>
      </c>
      <c r="B484" s="222">
        <f aca="true" t="shared" si="67" ref="B484:B493">D365</f>
        <v>0.538</v>
      </c>
      <c r="C484" s="222">
        <f t="shared" si="63"/>
        <v>0</v>
      </c>
      <c r="D484" s="136">
        <f>IF(data!$B$21=1,B484*1000,B484*1000-$E$467)</f>
        <v>538</v>
      </c>
      <c r="E484" s="224">
        <f aca="true" t="shared" si="68" ref="E484:E503">15*$E$471/1000/D484</f>
        <v>0</v>
      </c>
      <c r="F484" s="224">
        <f aca="true" t="shared" si="69" ref="F484:F503">(E484^2+2*E484)^0.5-E484</f>
        <v>0</v>
      </c>
      <c r="G484" s="224">
        <f aca="true" t="shared" si="70" ref="G484:G503">1-F484/3</f>
        <v>1</v>
      </c>
      <c r="H484" s="183" t="str">
        <f t="shared" si="64"/>
        <v>***</v>
      </c>
      <c r="I484" s="184" t="str">
        <f t="shared" si="65"/>
        <v>***</v>
      </c>
      <c r="J484" s="301"/>
      <c r="K484" s="301"/>
      <c r="L484" s="301"/>
      <c r="M484" s="301"/>
      <c r="N484" s="301"/>
      <c r="O484" s="301"/>
      <c r="P484" s="301"/>
      <c r="Q484" s="301"/>
      <c r="R484" s="301"/>
      <c r="S484" s="301"/>
      <c r="T484" s="301"/>
      <c r="U484" s="301"/>
      <c r="V484" s="301"/>
      <c r="W484" s="301"/>
      <c r="X484" s="301"/>
      <c r="Y484" s="301"/>
      <c r="Z484" s="301"/>
      <c r="AA484" s="301"/>
      <c r="AB484" s="301"/>
      <c r="AC484" s="301"/>
      <c r="AD484" s="301"/>
    </row>
    <row r="485" spans="1:35" ht="18" customHeight="1">
      <c r="A485" s="316">
        <f t="shared" si="66"/>
        <v>0.9199999999999999</v>
      </c>
      <c r="B485" s="222">
        <f t="shared" si="67"/>
        <v>0.676</v>
      </c>
      <c r="C485" s="222">
        <f t="shared" si="63"/>
        <v>0</v>
      </c>
      <c r="D485" s="136">
        <f>IF(data!$B$21=1,B485*1000,B485*1000-$E$467)</f>
        <v>676</v>
      </c>
      <c r="E485" s="224">
        <f t="shared" si="68"/>
        <v>0</v>
      </c>
      <c r="F485" s="224">
        <f t="shared" si="69"/>
        <v>0</v>
      </c>
      <c r="G485" s="224">
        <f t="shared" si="70"/>
        <v>1</v>
      </c>
      <c r="H485" s="183" t="str">
        <f t="shared" si="64"/>
        <v>***</v>
      </c>
      <c r="I485" s="184" t="str">
        <f t="shared" si="65"/>
        <v>***</v>
      </c>
      <c r="J485" s="301"/>
      <c r="K485" s="301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301"/>
      <c r="W485" s="301"/>
      <c r="X485" s="301"/>
      <c r="Y485" s="301"/>
      <c r="Z485" s="301"/>
      <c r="AA485" s="301"/>
      <c r="AB485" s="301"/>
      <c r="AC485" s="301"/>
      <c r="AD485" s="301"/>
      <c r="AF485" s="14" t="s">
        <v>379</v>
      </c>
      <c r="AG485" s="108" t="s">
        <v>380</v>
      </c>
      <c r="AH485" s="108" t="s">
        <v>381</v>
      </c>
      <c r="AI485" s="108" t="s">
        <v>382</v>
      </c>
    </row>
    <row r="486" spans="1:35" ht="18" customHeight="1">
      <c r="A486" s="316">
        <f t="shared" si="66"/>
        <v>1.38</v>
      </c>
      <c r="B486" s="222">
        <f t="shared" si="67"/>
        <v>0.8140000000000001</v>
      </c>
      <c r="C486" s="222">
        <f t="shared" si="63"/>
        <v>0</v>
      </c>
      <c r="D486" s="136">
        <f>IF(data!$B$21=1,B486*1000,B486*1000-$E$467)</f>
        <v>814</v>
      </c>
      <c r="E486" s="224">
        <f t="shared" si="68"/>
        <v>0</v>
      </c>
      <c r="F486" s="224">
        <f t="shared" si="69"/>
        <v>0</v>
      </c>
      <c r="G486" s="224">
        <f t="shared" si="70"/>
        <v>1</v>
      </c>
      <c r="H486" s="183" t="str">
        <f t="shared" si="64"/>
        <v>***</v>
      </c>
      <c r="I486" s="184" t="str">
        <f t="shared" si="65"/>
        <v>***</v>
      </c>
      <c r="J486" s="301"/>
      <c r="K486" s="301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301"/>
      <c r="W486" s="301"/>
      <c r="X486" s="301"/>
      <c r="Y486" s="301"/>
      <c r="Z486" s="301"/>
      <c r="AA486" s="301"/>
      <c r="AB486" s="301"/>
      <c r="AC486" s="301"/>
      <c r="AD486" s="301"/>
      <c r="AF486" s="12">
        <f>C364</f>
        <v>0</v>
      </c>
      <c r="AG486" s="232">
        <f>E364</f>
        <v>0</v>
      </c>
      <c r="AH486" s="232">
        <f>F364</f>
        <v>0</v>
      </c>
      <c r="AI486" s="232">
        <f>G364</f>
        <v>0</v>
      </c>
    </row>
    <row r="487" spans="1:35" ht="18" customHeight="1">
      <c r="A487" s="316">
        <f t="shared" si="66"/>
        <v>1.8399999999999999</v>
      </c>
      <c r="B487" s="222">
        <f t="shared" si="67"/>
        <v>0.9520000000000001</v>
      </c>
      <c r="C487" s="222">
        <f t="shared" si="63"/>
        <v>0</v>
      </c>
      <c r="D487" s="136">
        <f>IF(data!$B$21=1,B487*1000,B487*1000-$E$467)</f>
        <v>952.0000000000001</v>
      </c>
      <c r="E487" s="224">
        <f t="shared" si="68"/>
        <v>0</v>
      </c>
      <c r="F487" s="224">
        <f t="shared" si="69"/>
        <v>0</v>
      </c>
      <c r="G487" s="224">
        <f t="shared" si="70"/>
        <v>1</v>
      </c>
      <c r="H487" s="183" t="str">
        <f t="shared" si="64"/>
        <v>***</v>
      </c>
      <c r="I487" s="184" t="str">
        <f t="shared" si="65"/>
        <v>***</v>
      </c>
      <c r="J487" s="301"/>
      <c r="K487" s="301"/>
      <c r="L487" s="301"/>
      <c r="M487" s="301"/>
      <c r="N487" s="301"/>
      <c r="O487" s="301"/>
      <c r="P487" s="301"/>
      <c r="Q487" s="301"/>
      <c r="R487" s="301"/>
      <c r="S487" s="301"/>
      <c r="T487" s="301"/>
      <c r="U487" s="301"/>
      <c r="V487" s="301"/>
      <c r="W487" s="301"/>
      <c r="X487" s="301"/>
      <c r="Y487" s="301"/>
      <c r="Z487" s="301"/>
      <c r="AA487" s="301"/>
      <c r="AB487" s="301"/>
      <c r="AC487" s="301"/>
      <c r="AD487" s="301"/>
      <c r="AF487" s="12">
        <f aca="true" t="shared" si="71" ref="AF487:AF502">C365</f>
        <v>0.45999999999999996</v>
      </c>
      <c r="AG487" s="232">
        <f aca="true" t="shared" si="72" ref="AG487:AG502">E365</f>
        <v>5.090296499629161</v>
      </c>
      <c r="AH487" s="232">
        <f aca="true" t="shared" si="73" ref="AH487:AH503">F365</f>
        <v>0.5036377785579369</v>
      </c>
      <c r="AI487" s="232">
        <f aca="true" t="shared" si="74" ref="AI487:AI503">G365</f>
        <v>-0.23057292534900772</v>
      </c>
    </row>
    <row r="488" spans="1:35" ht="18" customHeight="1">
      <c r="A488" s="316">
        <f t="shared" si="66"/>
        <v>2.3</v>
      </c>
      <c r="B488" s="222">
        <f t="shared" si="67"/>
        <v>1.09</v>
      </c>
      <c r="C488" s="222">
        <f t="shared" si="63"/>
        <v>0</v>
      </c>
      <c r="D488" s="136">
        <f>IF(data!$B$21=1,B488*1000,B488*1000-$E$467)</f>
        <v>1090</v>
      </c>
      <c r="E488" s="224">
        <f t="shared" si="68"/>
        <v>0</v>
      </c>
      <c r="F488" s="224">
        <f t="shared" si="69"/>
        <v>0</v>
      </c>
      <c r="G488" s="224">
        <f t="shared" si="70"/>
        <v>1</v>
      </c>
      <c r="H488" s="183" t="str">
        <f t="shared" si="64"/>
        <v>***</v>
      </c>
      <c r="I488" s="184" t="str">
        <f t="shared" si="65"/>
        <v>***</v>
      </c>
      <c r="J488" s="301"/>
      <c r="K488" s="301"/>
      <c r="L488" s="301"/>
      <c r="M488" s="301"/>
      <c r="N488" s="301"/>
      <c r="O488" s="301"/>
      <c r="P488" s="301"/>
      <c r="Q488" s="301"/>
      <c r="R488" s="301"/>
      <c r="S488" s="301"/>
      <c r="T488" s="301"/>
      <c r="U488" s="301"/>
      <c r="V488" s="301"/>
      <c r="W488" s="301"/>
      <c r="X488" s="301"/>
      <c r="Y488" s="301"/>
      <c r="Z488" s="301"/>
      <c r="AA488" s="301"/>
      <c r="AB488" s="301"/>
      <c r="AC488" s="301"/>
      <c r="AD488" s="301"/>
      <c r="AF488" s="12">
        <f t="shared" si="71"/>
        <v>0.9199999999999999</v>
      </c>
      <c r="AG488" s="232">
        <f t="shared" si="72"/>
        <v>11.897185998516642</v>
      </c>
      <c r="AH488" s="232">
        <f t="shared" si="73"/>
        <v>2.0145511142317476</v>
      </c>
      <c r="AI488" s="232">
        <f t="shared" si="74"/>
        <v>-0.7686022030887331</v>
      </c>
    </row>
    <row r="489" spans="1:35" ht="18" customHeight="1">
      <c r="A489" s="316">
        <f t="shared" si="66"/>
        <v>2.76</v>
      </c>
      <c r="B489" s="222">
        <f t="shared" si="67"/>
        <v>1.2280000000000002</v>
      </c>
      <c r="C489" s="222">
        <f t="shared" si="63"/>
        <v>0</v>
      </c>
      <c r="D489" s="136">
        <f>IF(data!$B$21=1,B489*1000,B489*1000-$E$467)</f>
        <v>1228.0000000000002</v>
      </c>
      <c r="E489" s="224">
        <f t="shared" si="68"/>
        <v>0</v>
      </c>
      <c r="F489" s="224">
        <f t="shared" si="69"/>
        <v>0</v>
      </c>
      <c r="G489" s="224">
        <f t="shared" si="70"/>
        <v>1</v>
      </c>
      <c r="H489" s="183" t="str">
        <f t="shared" si="64"/>
        <v>***</v>
      </c>
      <c r="I489" s="184" t="str">
        <f t="shared" si="65"/>
        <v>***</v>
      </c>
      <c r="J489" s="301"/>
      <c r="K489" s="301"/>
      <c r="L489" s="301"/>
      <c r="M489" s="301"/>
      <c r="N489" s="301"/>
      <c r="O489" s="301"/>
      <c r="P489" s="301"/>
      <c r="Q489" s="301"/>
      <c r="R489" s="301"/>
      <c r="S489" s="301"/>
      <c r="T489" s="301"/>
      <c r="U489" s="301"/>
      <c r="V489" s="301"/>
      <c r="W489" s="301"/>
      <c r="X489" s="301"/>
      <c r="Y489" s="301"/>
      <c r="Z489" s="301"/>
      <c r="AA489" s="301"/>
      <c r="AB489" s="301"/>
      <c r="AC489" s="301"/>
      <c r="AD489" s="301"/>
      <c r="AF489" s="12">
        <f t="shared" si="71"/>
        <v>1.38</v>
      </c>
      <c r="AG489" s="232">
        <f t="shared" si="72"/>
        <v>20.420668496662447</v>
      </c>
      <c r="AH489" s="232">
        <f t="shared" si="73"/>
        <v>4.532740007021431</v>
      </c>
      <c r="AI489" s="232">
        <f t="shared" si="74"/>
        <v>-1.3835535857582304</v>
      </c>
    </row>
    <row r="490" spans="1:35" ht="18" customHeight="1">
      <c r="A490" s="316">
        <f t="shared" si="66"/>
        <v>3.2199999999999998</v>
      </c>
      <c r="B490" s="222">
        <f t="shared" si="67"/>
        <v>1.366</v>
      </c>
      <c r="C490" s="222">
        <f t="shared" si="63"/>
        <v>0</v>
      </c>
      <c r="D490" s="136">
        <f>IF(data!$B$21=1,B490*1000,B490*1000-$E$467)</f>
        <v>1366</v>
      </c>
      <c r="E490" s="224">
        <f t="shared" si="68"/>
        <v>0</v>
      </c>
      <c r="F490" s="224">
        <f t="shared" si="69"/>
        <v>0</v>
      </c>
      <c r="G490" s="224">
        <f t="shared" si="70"/>
        <v>1</v>
      </c>
      <c r="H490" s="183" t="str">
        <f t="shared" si="64"/>
        <v>***</v>
      </c>
      <c r="I490" s="184" t="str">
        <f t="shared" si="65"/>
        <v>***</v>
      </c>
      <c r="J490" s="301"/>
      <c r="K490" s="301"/>
      <c r="L490" s="301"/>
      <c r="M490" s="301"/>
      <c r="N490" s="301"/>
      <c r="O490" s="301"/>
      <c r="P490" s="301"/>
      <c r="Q490" s="301"/>
      <c r="R490" s="301"/>
      <c r="S490" s="301"/>
      <c r="T490" s="301"/>
      <c r="U490" s="301"/>
      <c r="V490" s="301"/>
      <c r="W490" s="301"/>
      <c r="X490" s="301"/>
      <c r="Y490" s="301"/>
      <c r="Z490" s="301"/>
      <c r="AA490" s="301"/>
      <c r="AB490" s="301"/>
      <c r="AC490" s="301"/>
      <c r="AD490" s="301"/>
      <c r="AF490" s="12">
        <f t="shared" si="71"/>
        <v>1.8399999999999999</v>
      </c>
      <c r="AG490" s="232">
        <f t="shared" si="72"/>
        <v>30.66074399406658</v>
      </c>
      <c r="AH490" s="232">
        <f t="shared" si="73"/>
        <v>8.05820445692699</v>
      </c>
      <c r="AI490" s="232">
        <f t="shared" si="74"/>
        <v>-1.8448928258965531</v>
      </c>
    </row>
    <row r="491" spans="1:35" ht="18" customHeight="1">
      <c r="A491" s="316">
        <f t="shared" si="66"/>
        <v>3.6799999999999997</v>
      </c>
      <c r="B491" s="222">
        <f t="shared" si="67"/>
        <v>1.504</v>
      </c>
      <c r="C491" s="222">
        <f t="shared" si="63"/>
        <v>0</v>
      </c>
      <c r="D491" s="136">
        <f>IF(data!$B$21=1,B491*1000,B491*1000-$E$467)</f>
        <v>1504</v>
      </c>
      <c r="E491" s="224">
        <f t="shared" si="68"/>
        <v>0</v>
      </c>
      <c r="F491" s="224">
        <f t="shared" si="69"/>
        <v>0</v>
      </c>
      <c r="G491" s="224">
        <f t="shared" si="70"/>
        <v>1</v>
      </c>
      <c r="H491" s="183" t="str">
        <f t="shared" si="64"/>
        <v>***</v>
      </c>
      <c r="I491" s="184" t="str">
        <f t="shared" si="65"/>
        <v>***</v>
      </c>
      <c r="J491" s="301"/>
      <c r="K491" s="301"/>
      <c r="L491" s="301"/>
      <c r="M491" s="301"/>
      <c r="N491" s="301"/>
      <c r="O491" s="301"/>
      <c r="P491" s="301"/>
      <c r="Q491" s="301"/>
      <c r="R491" s="301"/>
      <c r="S491" s="301"/>
      <c r="T491" s="301"/>
      <c r="U491" s="301"/>
      <c r="V491" s="301"/>
      <c r="W491" s="301"/>
      <c r="X491" s="301"/>
      <c r="Y491" s="301"/>
      <c r="Z491" s="301"/>
      <c r="AA491" s="301"/>
      <c r="AB491" s="301"/>
      <c r="AC491" s="301"/>
      <c r="AD491" s="301"/>
      <c r="AF491" s="12">
        <f t="shared" si="71"/>
        <v>2.3</v>
      </c>
      <c r="AG491" s="232">
        <f t="shared" si="72"/>
        <v>42.61741249072902</v>
      </c>
      <c r="AH491" s="232">
        <f t="shared" si="73"/>
        <v>12.590944463948423</v>
      </c>
      <c r="AI491" s="232">
        <f t="shared" si="74"/>
        <v>-1.9220856760427516</v>
      </c>
    </row>
    <row r="492" spans="1:35" ht="18" customHeight="1">
      <c r="A492" s="316">
        <f t="shared" si="66"/>
        <v>4.14</v>
      </c>
      <c r="B492" s="222">
        <f t="shared" si="67"/>
        <v>1.642</v>
      </c>
      <c r="C492" s="222">
        <f t="shared" si="63"/>
        <v>0</v>
      </c>
      <c r="D492" s="136">
        <f>IF(data!$B$21=1,B492*1000,B492*1000-$E$467)</f>
        <v>1642</v>
      </c>
      <c r="E492" s="224">
        <f t="shared" si="68"/>
        <v>0</v>
      </c>
      <c r="F492" s="224">
        <f t="shared" si="69"/>
        <v>0</v>
      </c>
      <c r="G492" s="224">
        <f t="shared" si="70"/>
        <v>1</v>
      </c>
      <c r="H492" s="183" t="str">
        <f t="shared" si="64"/>
        <v>***</v>
      </c>
      <c r="I492" s="184" t="str">
        <f t="shared" si="65"/>
        <v>***</v>
      </c>
      <c r="J492" s="301"/>
      <c r="K492" s="301"/>
      <c r="L492" s="301"/>
      <c r="M492" s="301"/>
      <c r="N492" s="301"/>
      <c r="O492" s="301"/>
      <c r="P492" s="301"/>
      <c r="Q492" s="301"/>
      <c r="R492" s="301"/>
      <c r="S492" s="301"/>
      <c r="T492" s="301"/>
      <c r="U492" s="301"/>
      <c r="V492" s="301"/>
      <c r="W492" s="301"/>
      <c r="X492" s="301"/>
      <c r="Y492" s="301"/>
      <c r="Z492" s="301"/>
      <c r="AA492" s="301"/>
      <c r="AB492" s="301"/>
      <c r="AC492" s="301"/>
      <c r="AD492" s="301"/>
      <c r="AF492" s="12">
        <f t="shared" si="71"/>
        <v>2.76</v>
      </c>
      <c r="AG492" s="232">
        <f t="shared" si="72"/>
        <v>56.29067398664979</v>
      </c>
      <c r="AH492" s="232">
        <f t="shared" si="73"/>
        <v>18.130960028085724</v>
      </c>
      <c r="AI492" s="232">
        <f t="shared" si="74"/>
        <v>-1.3845978887358896</v>
      </c>
    </row>
    <row r="493" spans="1:35" ht="18" customHeight="1">
      <c r="A493" s="316">
        <f t="shared" si="66"/>
        <v>4.6</v>
      </c>
      <c r="B493" s="222">
        <f t="shared" si="67"/>
        <v>1.7800000000000002</v>
      </c>
      <c r="C493" s="222">
        <f t="shared" si="63"/>
        <v>0</v>
      </c>
      <c r="D493" s="136">
        <f>IF(data!$B$21=1,B493*1000,B493*1000-$E$467)</f>
        <v>1780.0000000000002</v>
      </c>
      <c r="E493" s="224">
        <f t="shared" si="68"/>
        <v>0</v>
      </c>
      <c r="F493" s="224">
        <f t="shared" si="69"/>
        <v>0</v>
      </c>
      <c r="G493" s="224">
        <f t="shared" si="70"/>
        <v>1</v>
      </c>
      <c r="H493" s="183" t="str">
        <f t="shared" si="64"/>
        <v>***</v>
      </c>
      <c r="I493" s="184" t="str">
        <f t="shared" si="65"/>
        <v>***</v>
      </c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01"/>
      <c r="U493" s="301"/>
      <c r="V493" s="301"/>
      <c r="W493" s="301"/>
      <c r="X493" s="301"/>
      <c r="Y493" s="301"/>
      <c r="Z493" s="301"/>
      <c r="AA493" s="301"/>
      <c r="AB493" s="301"/>
      <c r="AC493" s="301"/>
      <c r="AD493" s="301"/>
      <c r="AE493" s="14"/>
      <c r="AF493" s="12">
        <f t="shared" si="71"/>
        <v>3.2199999999999998</v>
      </c>
      <c r="AG493" s="232">
        <f t="shared" si="72"/>
        <v>71.68052848182889</v>
      </c>
      <c r="AH493" s="232">
        <f t="shared" si="73"/>
        <v>24.6782511493389</v>
      </c>
      <c r="AI493" s="232">
        <f t="shared" si="74"/>
        <v>-0.0018952165150167843</v>
      </c>
    </row>
    <row r="494" spans="1:35" ht="18" customHeight="1">
      <c r="A494" s="316">
        <f aca="true" t="shared" si="75" ref="A494:A503">C375</f>
        <v>5.06</v>
      </c>
      <c r="B494" s="222">
        <f aca="true" t="shared" si="76" ref="B494:B503">D375</f>
        <v>1.9180000000000001</v>
      </c>
      <c r="C494" s="222">
        <f t="shared" si="63"/>
        <v>0</v>
      </c>
      <c r="D494" s="136">
        <f>IF(data!$B$21=1,B494*1000,B494*1000-$E$467)</f>
        <v>1918.0000000000002</v>
      </c>
      <c r="E494" s="224">
        <f t="shared" si="68"/>
        <v>0</v>
      </c>
      <c r="F494" s="224">
        <f t="shared" si="69"/>
        <v>0</v>
      </c>
      <c r="G494" s="224">
        <f t="shared" si="70"/>
        <v>1</v>
      </c>
      <c r="H494" s="183" t="str">
        <f t="shared" si="64"/>
        <v>***</v>
      </c>
      <c r="I494" s="184" t="str">
        <f t="shared" si="65"/>
        <v>***</v>
      </c>
      <c r="J494" s="301"/>
      <c r="K494" s="301"/>
      <c r="L494" s="301"/>
      <c r="M494" s="301"/>
      <c r="N494" s="301"/>
      <c r="O494" s="301"/>
      <c r="P494" s="301"/>
      <c r="Q494" s="301"/>
      <c r="R494" s="301"/>
      <c r="S494" s="301"/>
      <c r="T494" s="301"/>
      <c r="U494" s="301"/>
      <c r="V494" s="301"/>
      <c r="W494" s="301"/>
      <c r="X494" s="301"/>
      <c r="Y494" s="301"/>
      <c r="Z494" s="301"/>
      <c r="AA494" s="301"/>
      <c r="AB494" s="301"/>
      <c r="AC494" s="301"/>
      <c r="AD494" s="301"/>
      <c r="AE494" s="14"/>
      <c r="AF494" s="12">
        <f t="shared" si="71"/>
        <v>3.6799999999999997</v>
      </c>
      <c r="AG494" s="232">
        <f t="shared" si="72"/>
        <v>88.7869759762663</v>
      </c>
      <c r="AH494" s="232">
        <f t="shared" si="73"/>
        <v>32.23281782770796</v>
      </c>
      <c r="AI494" s="232">
        <f t="shared" si="74"/>
        <v>2.45655658808084</v>
      </c>
    </row>
    <row r="495" spans="1:35" ht="18" customHeight="1">
      <c r="A495" s="316">
        <f t="shared" si="75"/>
        <v>5.52</v>
      </c>
      <c r="B495" s="222">
        <f t="shared" si="76"/>
        <v>2.056</v>
      </c>
      <c r="C495" s="222">
        <f t="shared" si="63"/>
        <v>0</v>
      </c>
      <c r="D495" s="136">
        <f>IF(data!$B$21=1,B495*1000,B495*1000-$E$467)</f>
        <v>2056</v>
      </c>
      <c r="E495" s="224">
        <f t="shared" si="68"/>
        <v>0</v>
      </c>
      <c r="F495" s="224">
        <f t="shared" si="69"/>
        <v>0</v>
      </c>
      <c r="G495" s="224">
        <f t="shared" si="70"/>
        <v>1</v>
      </c>
      <c r="H495" s="183" t="str">
        <f t="shared" si="64"/>
        <v>***</v>
      </c>
      <c r="I495" s="184" t="str">
        <f t="shared" si="65"/>
        <v>***</v>
      </c>
      <c r="J495" s="301"/>
      <c r="K495" s="301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301"/>
      <c r="Z495" s="301"/>
      <c r="AA495" s="301"/>
      <c r="AB495" s="301"/>
      <c r="AC495" s="301"/>
      <c r="AD495" s="301"/>
      <c r="AF495" s="12">
        <f t="shared" si="71"/>
        <v>4.14</v>
      </c>
      <c r="AG495" s="232">
        <f t="shared" si="72"/>
        <v>107.610016469962</v>
      </c>
      <c r="AH495" s="232">
        <f t="shared" si="73"/>
        <v>40.794660063192886</v>
      </c>
      <c r="AI495" s="232">
        <f t="shared" si="74"/>
        <v>6.221291772512608</v>
      </c>
    </row>
    <row r="496" spans="1:35" ht="18" customHeight="1">
      <c r="A496" s="316">
        <f t="shared" si="75"/>
        <v>5.9799999999999995</v>
      </c>
      <c r="B496" s="222">
        <f t="shared" si="76"/>
        <v>2.194</v>
      </c>
      <c r="C496" s="222">
        <f t="shared" si="63"/>
        <v>0</v>
      </c>
      <c r="D496" s="136">
        <f>IF(data!$B$21=1,B496*1000,B496*1000-$E$467)</f>
        <v>2194</v>
      </c>
      <c r="E496" s="224">
        <f t="shared" si="68"/>
        <v>0</v>
      </c>
      <c r="F496" s="224">
        <f t="shared" si="69"/>
        <v>0</v>
      </c>
      <c r="G496" s="224">
        <f t="shared" si="70"/>
        <v>1</v>
      </c>
      <c r="H496" s="183" t="str">
        <f t="shared" si="64"/>
        <v>***</v>
      </c>
      <c r="I496" s="184" t="str">
        <f t="shared" si="65"/>
        <v>***</v>
      </c>
      <c r="J496" s="301"/>
      <c r="K496" s="301"/>
      <c r="L496" s="301"/>
      <c r="M496" s="301"/>
      <c r="N496" s="301"/>
      <c r="O496" s="301"/>
      <c r="P496" s="301"/>
      <c r="Q496" s="14"/>
      <c r="R496" s="14"/>
      <c r="S496" s="14"/>
      <c r="T496" s="301"/>
      <c r="U496" s="301"/>
      <c r="V496" s="301"/>
      <c r="W496" s="301"/>
      <c r="X496" s="301"/>
      <c r="Y496" s="301"/>
      <c r="Z496" s="301"/>
      <c r="AA496" s="301"/>
      <c r="AB496" s="301"/>
      <c r="AC496" s="301"/>
      <c r="AD496" s="301"/>
      <c r="AF496" s="12">
        <f t="shared" si="71"/>
        <v>4.6</v>
      </c>
      <c r="AG496" s="232">
        <f t="shared" si="72"/>
        <v>128.14964996291607</v>
      </c>
      <c r="AH496" s="232">
        <f t="shared" si="73"/>
        <v>50.36377785579369</v>
      </c>
      <c r="AI496" s="232">
        <f t="shared" si="74"/>
        <v>11.522844584241199</v>
      </c>
    </row>
    <row r="497" spans="1:35" ht="18" customHeight="1">
      <c r="A497" s="316">
        <f t="shared" si="75"/>
        <v>6.4399999999999995</v>
      </c>
      <c r="B497" s="222">
        <f t="shared" si="76"/>
        <v>2.3320000000000003</v>
      </c>
      <c r="C497" s="222">
        <f t="shared" si="63"/>
        <v>0</v>
      </c>
      <c r="D497" s="136">
        <f>IF(data!$B$21=1,B497*1000,B497*1000-$E$467)</f>
        <v>2332.0000000000005</v>
      </c>
      <c r="E497" s="224">
        <f t="shared" si="68"/>
        <v>0</v>
      </c>
      <c r="F497" s="224">
        <f t="shared" si="69"/>
        <v>0</v>
      </c>
      <c r="G497" s="224">
        <f t="shared" si="70"/>
        <v>1</v>
      </c>
      <c r="H497" s="183" t="str">
        <f t="shared" si="64"/>
        <v>***</v>
      </c>
      <c r="I497" s="184" t="str">
        <f t="shared" si="65"/>
        <v>***</v>
      </c>
      <c r="J497" s="301"/>
      <c r="K497" s="301"/>
      <c r="L497" s="301"/>
      <c r="M497" s="301"/>
      <c r="N497" s="301"/>
      <c r="O497" s="301"/>
      <c r="P497" s="301"/>
      <c r="Q497" s="110"/>
      <c r="R497" s="110"/>
      <c r="S497" s="110"/>
      <c r="T497" s="301"/>
      <c r="U497" s="301"/>
      <c r="V497" s="301"/>
      <c r="W497" s="301"/>
      <c r="X497" s="301"/>
      <c r="Y497" s="301"/>
      <c r="Z497" s="301"/>
      <c r="AA497" s="301"/>
      <c r="AB497" s="301"/>
      <c r="AC497" s="301"/>
      <c r="AD497" s="301"/>
      <c r="AF497" s="12">
        <f t="shared" si="71"/>
        <v>5.06</v>
      </c>
      <c r="AG497" s="232">
        <f t="shared" si="72"/>
        <v>150.40587645512844</v>
      </c>
      <c r="AH497" s="232">
        <f t="shared" si="73"/>
        <v>60.94017120551035</v>
      </c>
      <c r="AI497" s="232">
        <f t="shared" si="74"/>
        <v>18.591749270727604</v>
      </c>
    </row>
    <row r="498" spans="1:35" ht="18" customHeight="1">
      <c r="A498" s="316">
        <f t="shared" si="75"/>
        <v>6.8999999999999995</v>
      </c>
      <c r="B498" s="222">
        <f t="shared" si="76"/>
        <v>2.47</v>
      </c>
      <c r="C498" s="222">
        <f t="shared" si="63"/>
        <v>0</v>
      </c>
      <c r="D498" s="136">
        <f>IF(data!$B$21=1,B498*1000,B498*1000-$E$467)</f>
        <v>2470</v>
      </c>
      <c r="E498" s="224">
        <f t="shared" si="68"/>
        <v>0</v>
      </c>
      <c r="F498" s="224">
        <f t="shared" si="69"/>
        <v>0</v>
      </c>
      <c r="G498" s="224">
        <f t="shared" si="70"/>
        <v>1</v>
      </c>
      <c r="H498" s="183" t="str">
        <f t="shared" si="64"/>
        <v>***</v>
      </c>
      <c r="I498" s="184" t="str">
        <f t="shared" si="65"/>
        <v>***</v>
      </c>
      <c r="J498" s="301"/>
      <c r="K498" s="301"/>
      <c r="L498" s="301"/>
      <c r="M498" s="301"/>
      <c r="N498" s="301"/>
      <c r="O498" s="301"/>
      <c r="P498" s="301"/>
      <c r="Q498" s="110"/>
      <c r="R498" s="110"/>
      <c r="S498" s="110"/>
      <c r="T498" s="301"/>
      <c r="U498" s="301"/>
      <c r="V498" s="301"/>
      <c r="W498" s="301"/>
      <c r="X498" s="301"/>
      <c r="Y498" s="301"/>
      <c r="Z498" s="301"/>
      <c r="AA498" s="301"/>
      <c r="AB498" s="301"/>
      <c r="AC498" s="301"/>
      <c r="AD498" s="301"/>
      <c r="AF498" s="12">
        <f t="shared" si="71"/>
        <v>5.52</v>
      </c>
      <c r="AG498" s="232">
        <f t="shared" si="72"/>
        <v>174.37869594659918</v>
      </c>
      <c r="AH498" s="232">
        <f t="shared" si="73"/>
        <v>72.5238401123429</v>
      </c>
      <c r="AI498" s="232">
        <f t="shared" si="74"/>
        <v>27.65854007943274</v>
      </c>
    </row>
    <row r="499" spans="1:35" ht="18" customHeight="1">
      <c r="A499" s="316">
        <f t="shared" si="75"/>
        <v>7.359999999999999</v>
      </c>
      <c r="B499" s="222">
        <f t="shared" si="76"/>
        <v>2.608</v>
      </c>
      <c r="C499" s="222">
        <f t="shared" si="63"/>
        <v>0</v>
      </c>
      <c r="D499" s="136">
        <f>IF(data!$B$21=1,B499*1000,B499*1000-$E$467)</f>
        <v>2608</v>
      </c>
      <c r="E499" s="224">
        <f t="shared" si="68"/>
        <v>0</v>
      </c>
      <c r="F499" s="224">
        <f t="shared" si="69"/>
        <v>0</v>
      </c>
      <c r="G499" s="224">
        <f t="shared" si="70"/>
        <v>1</v>
      </c>
      <c r="H499" s="183" t="str">
        <f t="shared" si="64"/>
        <v>***</v>
      </c>
      <c r="I499" s="184" t="str">
        <f t="shared" si="65"/>
        <v>***</v>
      </c>
      <c r="J499" s="301"/>
      <c r="K499" s="301"/>
      <c r="L499" s="301"/>
      <c r="M499" s="301"/>
      <c r="N499" s="301"/>
      <c r="O499" s="301"/>
      <c r="P499" s="30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F499" s="12">
        <f t="shared" si="71"/>
        <v>5.9799999999999995</v>
      </c>
      <c r="AG499" s="232">
        <f t="shared" si="72"/>
        <v>200.06810843732822</v>
      </c>
      <c r="AH499" s="232">
        <f t="shared" si="73"/>
        <v>85.11478457629133</v>
      </c>
      <c r="AI499" s="232">
        <f t="shared" si="74"/>
        <v>38.953751257817586</v>
      </c>
    </row>
    <row r="500" spans="1:35" ht="18" customHeight="1">
      <c r="A500" s="316">
        <f t="shared" si="75"/>
        <v>7.819999999999999</v>
      </c>
      <c r="B500" s="222">
        <f t="shared" si="76"/>
        <v>2.746</v>
      </c>
      <c r="C500" s="222">
        <f t="shared" si="63"/>
        <v>0</v>
      </c>
      <c r="D500" s="136">
        <f>IF(data!$B$21=1,B500*1000,B500*1000-$E$467)</f>
        <v>2746</v>
      </c>
      <c r="E500" s="224">
        <f t="shared" si="68"/>
        <v>0</v>
      </c>
      <c r="F500" s="224">
        <f t="shared" si="69"/>
        <v>0</v>
      </c>
      <c r="G500" s="224">
        <f t="shared" si="70"/>
        <v>1</v>
      </c>
      <c r="H500" s="183" t="str">
        <f t="shared" si="64"/>
        <v>***</v>
      </c>
      <c r="I500" s="184" t="str">
        <f t="shared" si="65"/>
        <v>***</v>
      </c>
      <c r="J500" s="301"/>
      <c r="K500" s="301"/>
      <c r="L500" s="301"/>
      <c r="M500" s="301"/>
      <c r="N500" s="301"/>
      <c r="O500" s="301"/>
      <c r="P500" s="301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F500" s="12">
        <f t="shared" si="71"/>
        <v>6.4399999999999995</v>
      </c>
      <c r="AG500" s="232">
        <f t="shared" si="72"/>
        <v>227.47411392731553</v>
      </c>
      <c r="AH500" s="232">
        <f t="shared" si="73"/>
        <v>98.7130045973556</v>
      </c>
      <c r="AI500" s="232">
        <f t="shared" si="74"/>
        <v>52.707917053343024</v>
      </c>
    </row>
    <row r="501" spans="1:35" ht="18" customHeight="1">
      <c r="A501" s="316">
        <f t="shared" si="75"/>
        <v>8.28</v>
      </c>
      <c r="B501" s="222">
        <f t="shared" si="76"/>
        <v>2.884</v>
      </c>
      <c r="C501" s="222">
        <f t="shared" si="63"/>
        <v>0</v>
      </c>
      <c r="D501" s="136">
        <f>IF(data!$B$21=1,B501*1000,B501*1000-$E$467)</f>
        <v>2884</v>
      </c>
      <c r="E501" s="224">
        <f t="shared" si="68"/>
        <v>0</v>
      </c>
      <c r="F501" s="224">
        <f t="shared" si="69"/>
        <v>0</v>
      </c>
      <c r="G501" s="224">
        <f t="shared" si="70"/>
        <v>1</v>
      </c>
      <c r="H501" s="183" t="str">
        <f t="shared" si="64"/>
        <v>***</v>
      </c>
      <c r="I501" s="184" t="str">
        <f t="shared" si="65"/>
        <v>***</v>
      </c>
      <c r="J501" s="301"/>
      <c r="K501" s="301"/>
      <c r="L501" s="301"/>
      <c r="M501" s="301"/>
      <c r="N501" s="301"/>
      <c r="O501" s="301"/>
      <c r="P501" s="301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F501" s="12">
        <f t="shared" si="71"/>
        <v>6.8999999999999995</v>
      </c>
      <c r="AG501" s="232">
        <f t="shared" si="72"/>
        <v>256.5967124165612</v>
      </c>
      <c r="AH501" s="232">
        <f t="shared" si="73"/>
        <v>113.31850017553579</v>
      </c>
      <c r="AI501" s="232">
        <f t="shared" si="74"/>
        <v>69.15157171347013</v>
      </c>
    </row>
    <row r="502" spans="1:35" ht="18" customHeight="1">
      <c r="A502" s="316">
        <f t="shared" si="75"/>
        <v>8.739999999999998</v>
      </c>
      <c r="B502" s="222">
        <f t="shared" si="76"/>
        <v>3.022</v>
      </c>
      <c r="C502" s="222">
        <f t="shared" si="63"/>
        <v>0</v>
      </c>
      <c r="D502" s="136">
        <f>IF(data!$B$21=1,B502*1000,B502*1000-$E$467)</f>
        <v>3022</v>
      </c>
      <c r="E502" s="224">
        <f t="shared" si="68"/>
        <v>0</v>
      </c>
      <c r="F502" s="224">
        <f t="shared" si="69"/>
        <v>0</v>
      </c>
      <c r="G502" s="224">
        <f t="shared" si="70"/>
        <v>1</v>
      </c>
      <c r="H502" s="183" t="str">
        <f t="shared" si="64"/>
        <v>***</v>
      </c>
      <c r="I502" s="184" t="str">
        <f t="shared" si="65"/>
        <v>***</v>
      </c>
      <c r="J502" s="301"/>
      <c r="K502" s="301"/>
      <c r="L502" s="301"/>
      <c r="M502" s="301"/>
      <c r="N502" s="301"/>
      <c r="O502" s="301"/>
      <c r="P502" s="301"/>
      <c r="AF502" s="12">
        <f t="shared" si="71"/>
        <v>7.359999999999999</v>
      </c>
      <c r="AG502" s="232">
        <f t="shared" si="72"/>
        <v>287.4359039050652</v>
      </c>
      <c r="AH502" s="232">
        <f t="shared" si="73"/>
        <v>128.93127131083185</v>
      </c>
      <c r="AI502" s="232">
        <f t="shared" si="74"/>
        <v>88.51524948565981</v>
      </c>
    </row>
    <row r="503" spans="1:35" ht="18" customHeight="1">
      <c r="A503" s="317">
        <f t="shared" si="75"/>
        <v>9.2</v>
      </c>
      <c r="B503" s="225">
        <f t="shared" si="76"/>
        <v>3.16</v>
      </c>
      <c r="C503" s="225">
        <f t="shared" si="63"/>
        <v>0</v>
      </c>
      <c r="D503" s="140">
        <f>IF(data!$B$21=1,B503*1000,B503*1000-$E$467)</f>
        <v>3160</v>
      </c>
      <c r="E503" s="226">
        <f t="shared" si="68"/>
        <v>0</v>
      </c>
      <c r="F503" s="226">
        <f t="shared" si="69"/>
        <v>0</v>
      </c>
      <c r="G503" s="224">
        <f t="shared" si="70"/>
        <v>1</v>
      </c>
      <c r="H503" s="183" t="str">
        <f t="shared" si="64"/>
        <v>***</v>
      </c>
      <c r="I503" s="184" t="str">
        <f t="shared" si="65"/>
        <v>***</v>
      </c>
      <c r="J503" s="301"/>
      <c r="K503" s="301"/>
      <c r="L503" s="301"/>
      <c r="M503" s="301"/>
      <c r="N503" s="301"/>
      <c r="O503" s="301"/>
      <c r="P503" s="301"/>
      <c r="AF503" s="12">
        <f>C381</f>
        <v>7.819999999999999</v>
      </c>
      <c r="AG503" s="232">
        <f>E381</f>
        <v>319.9916883928275</v>
      </c>
      <c r="AH503" s="232">
        <f t="shared" si="73"/>
        <v>145.55131800324375</v>
      </c>
      <c r="AI503" s="232">
        <f t="shared" si="74"/>
        <v>111.02948461737284</v>
      </c>
    </row>
    <row r="504" spans="1:35" ht="18" customHeight="1">
      <c r="A504" s="255"/>
      <c r="B504" s="12"/>
      <c r="C504" s="227"/>
      <c r="D504" s="14"/>
      <c r="E504" s="14"/>
      <c r="F504" s="65"/>
      <c r="G504" s="228" t="s">
        <v>360</v>
      </c>
      <c r="H504" s="229">
        <f>MAX(H483:H503)</f>
        <v>0</v>
      </c>
      <c r="I504" s="230">
        <f>MAX(I483:I503)</f>
        <v>0</v>
      </c>
      <c r="J504" s="301"/>
      <c r="K504" s="301"/>
      <c r="L504" s="301"/>
      <c r="M504" s="301"/>
      <c r="N504" s="301"/>
      <c r="O504" s="301"/>
      <c r="P504" s="301"/>
      <c r="AF504" s="12">
        <f>C382</f>
        <v>8.28</v>
      </c>
      <c r="AG504" s="232">
        <f>E382</f>
        <v>354.2640658798481</v>
      </c>
      <c r="AH504" s="232">
        <f aca="true" t="shared" si="77" ref="AH504:AI506">F382</f>
        <v>163.17864025277154</v>
      </c>
      <c r="AI504" s="232">
        <f t="shared" si="77"/>
        <v>136.9248113560704</v>
      </c>
    </row>
    <row r="505" spans="1:35" ht="18" customHeight="1">
      <c r="A505" s="255"/>
      <c r="B505" s="12"/>
      <c r="C505" s="227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AF505" s="12">
        <f>C383</f>
        <v>8.739999999999998</v>
      </c>
      <c r="AG505" s="232">
        <f>E383</f>
        <v>390.253036366127</v>
      </c>
      <c r="AH505" s="232">
        <f t="shared" si="77"/>
        <v>181.81323805941517</v>
      </c>
      <c r="AI505" s="232">
        <f t="shared" si="77"/>
        <v>166.43176394921312</v>
      </c>
    </row>
    <row r="506" spans="2:35" ht="18" customHeight="1">
      <c r="B506" s="111" t="s">
        <v>361</v>
      </c>
      <c r="C506" s="111" t="s">
        <v>362</v>
      </c>
      <c r="D506" s="144">
        <f>H504</f>
        <v>0</v>
      </c>
      <c r="E506" s="14" t="s">
        <v>363</v>
      </c>
      <c r="F506" s="110" t="str">
        <f>IF(D506&lt;=G506,"&lt;","&gt;")</f>
        <v>&lt;</v>
      </c>
      <c r="G506" s="174">
        <f>σca</f>
        <v>4.5</v>
      </c>
      <c r="H506" s="14" t="s">
        <v>367</v>
      </c>
      <c r="I506" s="110" t="str">
        <f>IF(D506&lt;=G506,"SAFE","OUT")</f>
        <v>SAFE</v>
      </c>
      <c r="J506" s="110"/>
      <c r="K506" s="110"/>
      <c r="L506" s="110"/>
      <c r="M506" s="110"/>
      <c r="N506" s="110"/>
      <c r="O506" s="110"/>
      <c r="P506" s="110"/>
      <c r="AF506" s="12">
        <f>C384</f>
        <v>9.2</v>
      </c>
      <c r="AG506" s="232">
        <f>E384</f>
        <v>427.9585998516644</v>
      </c>
      <c r="AH506" s="232">
        <f t="shared" si="77"/>
        <v>201.45511142317477</v>
      </c>
      <c r="AI506" s="232">
        <f t="shared" si="77"/>
        <v>199.78087664426243</v>
      </c>
    </row>
    <row r="507" spans="2:16" ht="18" customHeight="1">
      <c r="B507" s="111" t="s">
        <v>364</v>
      </c>
      <c r="C507" s="111" t="s">
        <v>365</v>
      </c>
      <c r="D507" s="46">
        <f>I504</f>
        <v>0</v>
      </c>
      <c r="E507" s="14" t="s">
        <v>366</v>
      </c>
      <c r="F507" s="110" t="str">
        <f>IF(D507&lt;=G507,"&lt;","&gt;")</f>
        <v>&lt;</v>
      </c>
      <c r="G507" s="174">
        <f>σsa</f>
      </c>
      <c r="H507" s="14" t="s">
        <v>368</v>
      </c>
      <c r="I507" s="110" t="str">
        <f>IF(D507&lt;=G507,"SAFE","OUT")</f>
        <v>SAFE</v>
      </c>
      <c r="J507" s="110"/>
      <c r="K507" s="110"/>
      <c r="L507" s="110"/>
      <c r="M507" s="110"/>
      <c r="N507" s="110"/>
      <c r="O507" s="110"/>
      <c r="P507" s="110"/>
    </row>
    <row r="542" spans="32:38" ht="18" customHeight="1">
      <c r="AF542" s="95" t="s">
        <v>374</v>
      </c>
      <c r="AG542" s="14" t="s">
        <v>375</v>
      </c>
      <c r="AH542" s="108" t="s">
        <v>376</v>
      </c>
      <c r="AI542" s="108" t="s">
        <v>377</v>
      </c>
      <c r="AJ542" s="108" t="s">
        <v>378</v>
      </c>
      <c r="AL542" s="14"/>
    </row>
    <row r="543" spans="32:38" ht="18" customHeight="1">
      <c r="AF543" s="14">
        <f>IF(E408/H408&gt;=1,E408/H408,"")</f>
      </c>
      <c r="AG543" s="12">
        <f>B408</f>
        <v>0</v>
      </c>
      <c r="AH543" s="48">
        <f>D408</f>
        <v>0</v>
      </c>
      <c r="AI543" s="48">
        <f>E408</f>
        <v>0</v>
      </c>
      <c r="AJ543" s="12">
        <f>H408</f>
        <v>-0.225</v>
      </c>
      <c r="AL543" s="14"/>
    </row>
    <row r="544" spans="32:36" ht="18" customHeight="1">
      <c r="AF544" s="14">
        <f aca="true" t="shared" si="78" ref="AF544:AF549">IF(E409/H409&gt;=1,E409/H409,"")</f>
      </c>
      <c r="AG544" s="12">
        <f aca="true" t="shared" si="79" ref="AG544:AG553">B409</f>
        <v>0.45999999999999996</v>
      </c>
      <c r="AH544" s="48">
        <f aca="true" t="shared" si="80" ref="AH544:AH553">D409</f>
        <v>0.004681879619914188</v>
      </c>
      <c r="AI544" s="48">
        <f aca="true" t="shared" si="81" ref="AI544:AI553">E409</f>
        <v>0.014241155694692356</v>
      </c>
      <c r="AJ544" s="12">
        <f aca="true" t="shared" si="82" ref="AJ544:AJ553">H409</f>
        <v>-0.225</v>
      </c>
    </row>
    <row r="545" spans="32:36" ht="18" customHeight="1">
      <c r="AF545" s="14">
        <f t="shared" si="78"/>
      </c>
      <c r="AG545" s="12">
        <f t="shared" si="79"/>
        <v>0.9199999999999999</v>
      </c>
      <c r="AH545" s="48">
        <f t="shared" si="80"/>
        <v>0.0075078002268496626</v>
      </c>
      <c r="AI545" s="48">
        <f t="shared" si="81"/>
        <v>0.0276909749166907</v>
      </c>
      <c r="AJ545" s="12">
        <f t="shared" si="82"/>
        <v>-0.225</v>
      </c>
    </row>
    <row r="546" spans="32:36" ht="18" customHeight="1">
      <c r="AF546" s="14">
        <f t="shared" si="78"/>
      </c>
      <c r="AG546" s="12">
        <f t="shared" si="79"/>
        <v>1.38</v>
      </c>
      <c r="AH546" s="48">
        <f t="shared" si="80"/>
        <v>0.012558335157069842</v>
      </c>
      <c r="AI546" s="48">
        <f t="shared" si="81"/>
        <v>0.03761529751286245</v>
      </c>
      <c r="AJ546" s="12">
        <f t="shared" si="82"/>
        <v>-0.225</v>
      </c>
    </row>
    <row r="547" spans="32:36" ht="18" customHeight="1">
      <c r="AF547" s="14">
        <f t="shared" si="78"/>
      </c>
      <c r="AG547" s="12">
        <f t="shared" si="79"/>
        <v>1.8399999999999999</v>
      </c>
      <c r="AH547" s="48">
        <f t="shared" si="80"/>
        <v>0.019992928782143808</v>
      </c>
      <c r="AI547" s="48">
        <f t="shared" si="81"/>
        <v>0.04442039893648345</v>
      </c>
      <c r="AJ547" s="12">
        <f t="shared" si="82"/>
        <v>-0.225</v>
      </c>
    </row>
    <row r="548" spans="32:36" ht="18" customHeight="1">
      <c r="AF548" s="14">
        <f t="shared" si="78"/>
      </c>
      <c r="AG548" s="12">
        <f t="shared" si="79"/>
        <v>2.3</v>
      </c>
      <c r="AH548" s="48">
        <f t="shared" si="80"/>
        <v>0.029391857216259677</v>
      </c>
      <c r="AI548" s="48">
        <f t="shared" si="81"/>
        <v>0.04880522992269264</v>
      </c>
      <c r="AJ548" s="12">
        <f t="shared" si="82"/>
        <v>-0.225</v>
      </c>
    </row>
    <row r="549" spans="32:36" ht="18" customHeight="1">
      <c r="AF549" s="14">
        <f t="shared" si="78"/>
      </c>
      <c r="AG549" s="12">
        <f t="shared" si="79"/>
        <v>2.76</v>
      </c>
      <c r="AH549" s="48">
        <f t="shared" si="80"/>
        <v>0.040330242445006444</v>
      </c>
      <c r="AI549" s="48">
        <f t="shared" si="81"/>
        <v>0.05134837968308766</v>
      </c>
      <c r="AJ549" s="12">
        <f t="shared" si="82"/>
        <v>-0.225</v>
      </c>
    </row>
    <row r="550" spans="32:36" ht="18" customHeight="1">
      <c r="AF550" s="14">
        <f>IF(E415/H415&gt;=1,E415/H415,1)</f>
        <v>1</v>
      </c>
      <c r="AG550" s="12">
        <f t="shared" si="79"/>
        <v>3.2199999999999998</v>
      </c>
      <c r="AH550" s="48">
        <f t="shared" si="80"/>
        <v>0.052468670540510146</v>
      </c>
      <c r="AI550" s="48">
        <f t="shared" si="81"/>
        <v>0.05248085871546186</v>
      </c>
      <c r="AJ550" s="12">
        <f t="shared" si="82"/>
        <v>-0.225</v>
      </c>
    </row>
    <row r="551" spans="32:36" ht="18" customHeight="1">
      <c r="AF551" s="14">
        <f>IF(E416/H416&gt;=1,E416/H416,10)</f>
        <v>10</v>
      </c>
      <c r="AG551" s="12">
        <f t="shared" si="79"/>
        <v>3.6799999999999997</v>
      </c>
      <c r="AH551" s="48">
        <f t="shared" si="80"/>
        <v>0.06554991273129347</v>
      </c>
      <c r="AI551" s="48">
        <f t="shared" si="81"/>
        <v>0.0525178744711883</v>
      </c>
      <c r="AJ551" s="12">
        <f t="shared" si="82"/>
        <v>-0.225</v>
      </c>
    </row>
    <row r="552" spans="32:36" ht="18" customHeight="1">
      <c r="AF552" s="14">
        <f aca="true" t="shared" si="83" ref="AF552:AF563">IF(E417/H417&gt;=1,E417/H417,10)</f>
        <v>10</v>
      </c>
      <c r="AG552" s="12">
        <f t="shared" si="79"/>
        <v>4.14</v>
      </c>
      <c r="AH552" s="48">
        <f t="shared" si="80"/>
        <v>0.07938070446706998</v>
      </c>
      <c r="AI552" s="48">
        <f t="shared" si="81"/>
        <v>0.051691179174783865</v>
      </c>
      <c r="AJ552" s="12">
        <f t="shared" si="82"/>
        <v>-0.225</v>
      </c>
    </row>
    <row r="553" spans="32:36" ht="18" customHeight="1">
      <c r="AF553" s="14">
        <f t="shared" si="83"/>
        <v>10</v>
      </c>
      <c r="AG553" s="12">
        <f t="shared" si="79"/>
        <v>4.6</v>
      </c>
      <c r="AH553" s="48">
        <f t="shared" si="80"/>
        <v>0.09381499950746047</v>
      </c>
      <c r="AI553" s="48">
        <f t="shared" si="81"/>
        <v>0.05017337123738903</v>
      </c>
      <c r="AJ553" s="12">
        <f t="shared" si="82"/>
        <v>-0.225</v>
      </c>
    </row>
    <row r="554" spans="32:36" ht="18" customHeight="1">
      <c r="AF554" s="14">
        <f t="shared" si="83"/>
        <v>10</v>
      </c>
      <c r="AG554" s="12">
        <f>B419</f>
        <v>5.06</v>
      </c>
      <c r="AH554" s="48">
        <f>D419</f>
        <v>0.10874122838932791</v>
      </c>
      <c r="AI554" s="48">
        <f>E419</f>
        <v>0.048094930583694434</v>
      </c>
      <c r="AJ554" s="12">
        <f>H419</f>
        <v>-0.225</v>
      </c>
    </row>
    <row r="555" spans="32:36" ht="18" customHeight="1">
      <c r="AF555" s="14">
        <f t="shared" si="83"/>
        <v>10</v>
      </c>
      <c r="AG555" s="12">
        <f aca="true" t="shared" si="84" ref="AG555:AG563">B420</f>
        <v>5.52</v>
      </c>
      <c r="AH555" s="48">
        <f aca="true" t="shared" si="85" ref="AH555:AH563">D420</f>
        <v>0.12407309330544472</v>
      </c>
      <c r="AI555" s="48">
        <f aca="true" t="shared" si="86" ref="AI555:AI563">E420</f>
        <v>0.045555988354671215</v>
      </c>
      <c r="AJ555" s="12">
        <f aca="true" t="shared" si="87" ref="AJ555:AJ563">H420</f>
        <v>-0.225</v>
      </c>
    </row>
    <row r="556" spans="32:36" ht="18" customHeight="1">
      <c r="AF556" s="14">
        <f t="shared" si="83"/>
        <v>10</v>
      </c>
      <c r="AG556" s="12">
        <f t="shared" si="84"/>
        <v>5.9799999999999995</v>
      </c>
      <c r="AH556" s="48">
        <f t="shared" si="85"/>
        <v>0.1397430003968733</v>
      </c>
      <c r="AI556" s="48">
        <f t="shared" si="86"/>
        <v>0.04263449134180328</v>
      </c>
      <c r="AJ556" s="12">
        <f t="shared" si="87"/>
        <v>-0.225</v>
      </c>
    </row>
    <row r="557" spans="32:36" ht="18" customHeight="1">
      <c r="AF557" s="14">
        <f t="shared" si="83"/>
        <v>10</v>
      </c>
      <c r="AG557" s="12">
        <f t="shared" si="84"/>
        <v>6.4399999999999995</v>
      </c>
      <c r="AH557" s="48">
        <f t="shared" si="85"/>
        <v>0.15569736296234907</v>
      </c>
      <c r="AI557" s="48">
        <f t="shared" si="86"/>
        <v>0.03939192857051157</v>
      </c>
      <c r="AJ557" s="12">
        <f t="shared" si="87"/>
        <v>-0.225</v>
      </c>
    </row>
    <row r="558" spans="32:36" ht="18" customHeight="1">
      <c r="AF558" s="14">
        <f t="shared" si="83"/>
        <v>10</v>
      </c>
      <c r="AG558" s="12">
        <f t="shared" si="84"/>
        <v>6.8999999999999995</v>
      </c>
      <c r="AH558" s="48">
        <f t="shared" si="85"/>
        <v>0.1718932141077098</v>
      </c>
      <c r="AI558" s="48">
        <f t="shared" si="86"/>
        <v>0.035877403233635266</v>
      </c>
      <c r="AJ558" s="12">
        <f t="shared" si="87"/>
        <v>-0.225</v>
      </c>
    </row>
    <row r="559" spans="32:36" ht="18" customHeight="1">
      <c r="AF559" s="14">
        <f t="shared" si="83"/>
        <v>10</v>
      </c>
      <c r="AG559" s="12">
        <f t="shared" si="84"/>
        <v>7.359999999999999</v>
      </c>
      <c r="AH559" s="48">
        <f t="shared" si="85"/>
        <v>0.18829573679299194</v>
      </c>
      <c r="AI559" s="48">
        <f t="shared" si="86"/>
        <v>0.03213056988267154</v>
      </c>
      <c r="AJ559" s="12">
        <f t="shared" si="87"/>
        <v>-0.225</v>
      </c>
    </row>
    <row r="560" spans="32:36" ht="18" customHeight="1">
      <c r="AF560" s="14">
        <f t="shared" si="83"/>
        <v>10</v>
      </c>
      <c r="AG560" s="12">
        <f t="shared" si="84"/>
        <v>7.819999999999999</v>
      </c>
      <c r="AH560" s="48">
        <f t="shared" si="85"/>
        <v>0.2048764413510881</v>
      </c>
      <c r="AI560" s="48">
        <f t="shared" si="86"/>
        <v>0.028183783261313593</v>
      </c>
      <c r="AJ560" s="12">
        <f t="shared" si="87"/>
        <v>-0.225</v>
      </c>
    </row>
    <row r="561" spans="32:36" ht="18" customHeight="1">
      <c r="AF561" s="14">
        <f t="shared" si="83"/>
        <v>10</v>
      </c>
      <c r="AG561" s="12">
        <f t="shared" si="84"/>
        <v>8.28</v>
      </c>
      <c r="AH561" s="48">
        <f t="shared" si="85"/>
        <v>0.22161180463520386</v>
      </c>
      <c r="AI561" s="48">
        <f t="shared" si="86"/>
        <v>0.02406369181406666</v>
      </c>
      <c r="AJ561" s="12">
        <f t="shared" si="87"/>
        <v>-0.225</v>
      </c>
    </row>
    <row r="562" spans="32:36" ht="18" customHeight="1">
      <c r="AF562" s="14">
        <f t="shared" si="83"/>
        <v>10</v>
      </c>
      <c r="AG562" s="12">
        <f t="shared" si="84"/>
        <v>8.739999999999998</v>
      </c>
      <c r="AH562" s="48">
        <f t="shared" si="85"/>
        <v>0.2384822420267821</v>
      </c>
      <c r="AI562" s="48">
        <f t="shared" si="86"/>
        <v>0.01979243458878844</v>
      </c>
      <c r="AJ562" s="12">
        <f t="shared" si="87"/>
        <v>-0.225</v>
      </c>
    </row>
    <row r="563" spans="32:36" ht="18" customHeight="1">
      <c r="AF563" s="14">
        <f t="shared" si="83"/>
        <v>10</v>
      </c>
      <c r="AG563" s="12">
        <f t="shared" si="84"/>
        <v>9.2</v>
      </c>
      <c r="AH563" s="48">
        <f t="shared" si="85"/>
        <v>0.2554713222437143</v>
      </c>
      <c r="AI563" s="48">
        <f t="shared" si="86"/>
        <v>0.015388551080123875</v>
      </c>
      <c r="AJ563" s="12">
        <f t="shared" si="87"/>
        <v>-0.225</v>
      </c>
    </row>
    <row r="564" spans="31:32" ht="18" customHeight="1">
      <c r="AE564" s="17" t="s">
        <v>383</v>
      </c>
      <c r="AF564" s="14">
        <f>MIN(AF543:AF563)</f>
        <v>1</v>
      </c>
    </row>
  </sheetData>
  <sheetProtection/>
  <mergeCells count="13">
    <mergeCell ref="B240:B241"/>
    <mergeCell ref="C262:C263"/>
    <mergeCell ref="G405:I405"/>
    <mergeCell ref="C297:C298"/>
    <mergeCell ref="C331:C332"/>
    <mergeCell ref="C361:C362"/>
    <mergeCell ref="B405:B406"/>
    <mergeCell ref="A480:A481"/>
    <mergeCell ref="F480:G480"/>
    <mergeCell ref="H480:I480"/>
    <mergeCell ref="E481:E482"/>
    <mergeCell ref="F481:F482"/>
    <mergeCell ref="G481:G482"/>
  </mergeCells>
  <conditionalFormatting sqref="D408:D428">
    <cfRule type="cellIs" priority="1" dxfId="9" operator="greaterThan" stopIfTrue="1">
      <formula>$G$432</formula>
    </cfRule>
  </conditionalFormatting>
  <conditionalFormatting sqref="E408:E428">
    <cfRule type="cellIs" priority="2" dxfId="9" operator="lessThan" stopIfTrue="1">
      <formula>$G$433</formula>
    </cfRule>
  </conditionalFormatting>
  <conditionalFormatting sqref="F408:F428">
    <cfRule type="cellIs" priority="3" dxfId="9" operator="greaterThan" stopIfTrue="1">
      <formula>$G$434</formula>
    </cfRule>
  </conditionalFormatting>
  <printOptions/>
  <pageMargins left="1" right="0.5905511811023623" top="0.7874015748031497" bottom="0.7874015748031497" header="0.5" footer="0.5"/>
  <pageSetup firstPageNumber="1" useFirstPageNumber="1" horizontalDpi="600" verticalDpi="600" orientation="portrait" paperSize="9" r:id="rId2"/>
  <headerFooter alignWithMargins="0">
    <oddHeader>&amp;C&amp;10重力式擁壁1&amp;8
</oddHeader>
    <oddFooter>&amp;C&amp;10- &amp;P -</oddFooter>
  </headerFooter>
  <rowBreaks count="13" manualBreakCount="13">
    <brk id="38" max="8" man="1"/>
    <brk id="63" max="8" man="1"/>
    <brk id="99" max="8" man="1"/>
    <brk id="137" max="8" man="1"/>
    <brk id="177" max="8" man="1"/>
    <brk id="208" max="8" man="1"/>
    <brk id="244" max="8" man="1"/>
    <brk id="285" max="8" man="1"/>
    <brk id="321" max="8" man="1"/>
    <brk id="355" max="8" man="1"/>
    <brk id="395" max="8" man="1"/>
    <brk id="437" max="8" man="1"/>
    <brk id="47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重力式擁壁１</dc:title>
  <dc:subject/>
  <dc:creator>右城　猛</dc:creator>
  <cp:keywords/>
  <dc:description/>
  <cp:lastModifiedBy>右城 猛</cp:lastModifiedBy>
  <cp:lastPrinted>2004-07-24T00:41:07Z</cp:lastPrinted>
  <dcterms:created xsi:type="dcterms:W3CDTF">1996-07-10T08:22:48Z</dcterms:created>
  <dcterms:modified xsi:type="dcterms:W3CDTF">2015-07-02T07:25:14Z</dcterms:modified>
  <cp:category/>
  <cp:version/>
  <cp:contentType/>
  <cp:contentStatus/>
</cp:coreProperties>
</file>