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1640" activeTab="1"/>
  </bookViews>
  <sheets>
    <sheet name="ランキン" sheetId="1" r:id="rId1"/>
    <sheet name="クーロン" sheetId="2" r:id="rId2"/>
    <sheet name="試行くさび法" sheetId="3" r:id="rId3"/>
    <sheet name="中畑式" sheetId="4" r:id="rId4"/>
  </sheets>
  <definedNames>
    <definedName name="_xlnm.Print_Area" localSheetId="1">'クーロン'!$A$1:$I$76</definedName>
    <definedName name="_xlnm.Print_Area" localSheetId="2">'試行くさび法'!$A$1:$I$177</definedName>
  </definedNames>
  <calcPr fullCalcOnLoad="1"/>
</workbook>
</file>

<file path=xl/sharedStrings.xml><?xml version="1.0" encoding="utf-8"?>
<sst xmlns="http://schemas.openxmlformats.org/spreadsheetml/2006/main" count="232" uniqueCount="117">
  <si>
    <t>ランキンの主働土圧</t>
  </si>
  <si>
    <t>擁壁高さ</t>
  </si>
  <si>
    <t>地表載荷重</t>
  </si>
  <si>
    <t>盛土傾斜角</t>
  </si>
  <si>
    <t>単位体積重量</t>
  </si>
  <si>
    <t>せん断抵抗角</t>
  </si>
  <si>
    <t>H=</t>
  </si>
  <si>
    <t>q=</t>
  </si>
  <si>
    <t>β=</t>
  </si>
  <si>
    <t>γ=</t>
  </si>
  <si>
    <t>φ=</t>
  </si>
  <si>
    <t>m</t>
  </si>
  <si>
    <r>
      <t>kN/m</t>
    </r>
    <r>
      <rPr>
        <vertAlign val="superscript"/>
        <sz val="11"/>
        <rFont val="ＭＳ 明朝"/>
        <family val="1"/>
      </rPr>
      <t>2</t>
    </r>
  </si>
  <si>
    <t>度</t>
  </si>
  <si>
    <r>
      <t>kN/m</t>
    </r>
    <r>
      <rPr>
        <vertAlign val="superscript"/>
        <sz val="11"/>
        <rFont val="ＭＳ 明朝"/>
        <family val="1"/>
      </rPr>
      <t>3</t>
    </r>
  </si>
  <si>
    <t>rad</t>
  </si>
  <si>
    <t>主働すべり角</t>
  </si>
  <si>
    <t>=</t>
  </si>
  <si>
    <t>主働土圧係数</t>
  </si>
  <si>
    <t>cosβ=</t>
  </si>
  <si>
    <t>cosφ=</t>
  </si>
  <si>
    <t>主働土圧合力</t>
  </si>
  <si>
    <r>
      <t>主働土圧強度</t>
    </r>
    <r>
      <rPr>
        <i/>
        <sz val="11"/>
        <rFont val="ＭＳ 明朝"/>
        <family val="1"/>
      </rPr>
      <t xml:space="preserve"> pz</t>
    </r>
  </si>
  <si>
    <t>z(m)</t>
  </si>
  <si>
    <r>
      <t>pz(kN/m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</si>
  <si>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kN/m</t>
  </si>
  <si>
    <t>クーロンの主働土圧</t>
  </si>
  <si>
    <t>壁面傾斜角</t>
  </si>
  <si>
    <t>α=</t>
  </si>
  <si>
    <t>設計水平震度</t>
  </si>
  <si>
    <r>
      <t>k</t>
    </r>
    <r>
      <rPr>
        <i/>
        <vertAlign val="subscript"/>
        <sz val="11"/>
        <rFont val="ＭＳ 明朝"/>
        <family val="1"/>
      </rPr>
      <t>H</t>
    </r>
    <r>
      <rPr>
        <i/>
        <sz val="11"/>
        <rFont val="ＭＳ 明朝"/>
        <family val="1"/>
      </rPr>
      <t>=</t>
    </r>
  </si>
  <si>
    <t>壁面摩擦角</t>
  </si>
  <si>
    <t>δ=</t>
  </si>
  <si>
    <t>地震合成角</t>
  </si>
  <si>
    <t>主働土圧係数 KA</t>
  </si>
  <si>
    <t>ここで，</t>
  </si>
  <si>
    <t>したがって，</t>
  </si>
  <si>
    <t>KA=</t>
  </si>
  <si>
    <t>主働すべり角</t>
  </si>
  <si>
    <t>ω=</t>
  </si>
  <si>
    <t>試行くさび法による主働土圧</t>
  </si>
  <si>
    <t>盛土高</t>
  </si>
  <si>
    <r>
      <t>H</t>
    </r>
    <r>
      <rPr>
        <i/>
        <vertAlign val="subscript"/>
        <sz val="11"/>
        <rFont val="ＭＳ 明朝"/>
        <family val="1"/>
      </rPr>
      <t>0</t>
    </r>
    <r>
      <rPr>
        <i/>
        <sz val="11"/>
        <rFont val="ＭＳ 明朝"/>
        <family val="1"/>
      </rPr>
      <t>=</t>
    </r>
  </si>
  <si>
    <t>m</t>
  </si>
  <si>
    <t>土塊の重量の計算</t>
  </si>
  <si>
    <t>すべり面が盛土肩を通るときのすべり角</t>
  </si>
  <si>
    <t>=</t>
  </si>
  <si>
    <t>rad</t>
  </si>
  <si>
    <t>度</t>
  </si>
  <si>
    <t>主働土圧合力の計算式</t>
  </si>
  <si>
    <t>ω(度)</t>
  </si>
  <si>
    <t>ω(rad)</t>
  </si>
  <si>
    <r>
      <t>W1(H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=0)</t>
    </r>
  </si>
  <si>
    <t>W2(ω&gt;ω0)</t>
  </si>
  <si>
    <t>W3(ω&lt;ω0)</t>
  </si>
  <si>
    <t>PA(kN/m)</t>
  </si>
  <si>
    <t>b(m)</t>
  </si>
  <si>
    <t>W(kN/m)</t>
  </si>
  <si>
    <t>主働すべり角</t>
  </si>
  <si>
    <t>土塊重量</t>
  </si>
  <si>
    <t>W=</t>
  </si>
  <si>
    <t>kN/m　(載荷重を含む)</t>
  </si>
  <si>
    <t>主働土圧合力</t>
  </si>
  <si>
    <t>PA=</t>
  </si>
  <si>
    <t>換算主働土圧係数</t>
  </si>
  <si>
    <t>　(載荷重を含む)</t>
  </si>
  <si>
    <t>x</t>
  </si>
  <si>
    <t>擁壁</t>
  </si>
  <si>
    <t>盛土</t>
  </si>
  <si>
    <t>載荷重</t>
  </si>
  <si>
    <t>すべり面</t>
  </si>
  <si>
    <t>すべり面の作図</t>
  </si>
  <si>
    <t>主働土圧，主働すべり角，土塊重量の探索</t>
  </si>
  <si>
    <t>擁壁高さ</t>
  </si>
  <si>
    <t>H=</t>
  </si>
  <si>
    <t>m</t>
  </si>
  <si>
    <t>嵩上げ高</t>
  </si>
  <si>
    <t>h=</t>
  </si>
  <si>
    <t>壁面傾斜角</t>
  </si>
  <si>
    <t>α=</t>
  </si>
  <si>
    <t>度</t>
  </si>
  <si>
    <t>rad</t>
  </si>
  <si>
    <t>盛土傾斜角</t>
  </si>
  <si>
    <t>β=</t>
  </si>
  <si>
    <t>土の単重</t>
  </si>
  <si>
    <t>γ=</t>
  </si>
  <si>
    <t>kN/m3</t>
  </si>
  <si>
    <t>内部摩擦角</t>
  </si>
  <si>
    <t>φ=</t>
  </si>
  <si>
    <t>壁面摩擦角</t>
  </si>
  <si>
    <t>δ=</t>
  </si>
  <si>
    <t>載荷重</t>
  </si>
  <si>
    <t>q=</t>
  </si>
  <si>
    <t>kN/m2</t>
  </si>
  <si>
    <t>T=</t>
  </si>
  <si>
    <t>kN/m</t>
  </si>
  <si>
    <t>kN/m</t>
  </si>
  <si>
    <t>正解値</t>
  </si>
  <si>
    <t>KA=</t>
  </si>
  <si>
    <t>PA=</t>
  </si>
  <si>
    <t>kN/m</t>
  </si>
  <si>
    <t>中畑式による土圧の計算</t>
  </si>
  <si>
    <t>盛土全高</t>
  </si>
  <si>
    <t>主働土圧係数</t>
  </si>
  <si>
    <t>主働土圧合力</t>
  </si>
  <si>
    <t>主働すべり角</t>
  </si>
  <si>
    <t>設計水平震度</t>
  </si>
  <si>
    <t>kH=</t>
  </si>
  <si>
    <t xml:space="preserve">   地表面が一様勾配の場合の主働土圧(クーロン式による)</t>
  </si>
  <si>
    <t>擁壁</t>
  </si>
  <si>
    <t>盛土</t>
  </si>
  <si>
    <t>すべり面</t>
  </si>
  <si>
    <t>載荷重</t>
  </si>
  <si>
    <t>度</t>
  </si>
  <si>
    <t>ωA=</t>
  </si>
  <si>
    <t>S=</t>
  </si>
  <si>
    <t>cotβ=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</si>
</sst>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_);[Red]\(0.00\)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4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vertAlign val="superscript"/>
      <sz val="11"/>
      <name val="ＭＳ 明朝"/>
      <family val="1"/>
    </font>
    <font>
      <i/>
      <sz val="11"/>
      <name val="ＭＳ 明朝"/>
      <family val="1"/>
    </font>
    <font>
      <i/>
      <vertAlign val="subscript"/>
      <sz val="11"/>
      <name val="ＭＳ 明朝"/>
      <family val="1"/>
    </font>
    <font>
      <vertAlign val="subscript"/>
      <sz val="11"/>
      <name val="ＭＳ 明朝"/>
      <family val="1"/>
    </font>
    <font>
      <sz val="12"/>
      <name val="ＭＳ 明朝"/>
      <family val="1"/>
    </font>
    <font>
      <sz val="9.2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horizontal="center"/>
    </xf>
    <xf numFmtId="178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178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1" xfId="0" applyNumberFormat="1" applyFill="1" applyBorder="1" applyAlignment="1">
      <alignment/>
    </xf>
    <xf numFmtId="178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すべり角と土圧の関係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'試行くさび法'!$I$78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'試行くさび法'!$B$79:$B$129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'試行くさび法'!$I$79:$I$129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48642321"/>
        <c:axId val="28370398"/>
      </c:lineChart>
      <c:catAx>
        <c:axId val="4864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8370398"/>
        <c:crosses val="autoZero"/>
        <c:auto val="1"/>
        <c:lblOffset val="100"/>
        <c:noMultiLvlLbl val="0"/>
      </c:catAx>
      <c:valAx>
        <c:axId val="2837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PA(kN/m)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8642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'試行くさび法'!$M$153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'試行くさび法'!$M$154:$M$166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'試行くさび法'!$N$153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'試行くさび法'!$N$154:$N$166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'試行くさび法'!$O$153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'試行くさび法'!$O$154:$O$166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'試行くさび法'!$P$153</c:f>
              <c:strCache>
                <c:ptCount val="1"/>
                <c:pt idx="0">
                  <c:v>すべり面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'試行くさび法'!$P$154:$P$166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3270855"/>
        <c:axId val="29867932"/>
      </c:scatterChart>
      <c:valAx>
        <c:axId val="33270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67932"/>
        <c:crosses val="autoZero"/>
        <c:crossBetween val="midCat"/>
        <c:dispUnits/>
      </c:valAx>
      <c:valAx>
        <c:axId val="298679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708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'試行くさび法'!$M$153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'試行くさび法'!$M$154:$M$166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'試行くさび法'!$N$153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'試行くさび法'!$N$154:$N$166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'試行くさび法'!$O$153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'試行くさび法'!$O$154:$O$166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'試行くさび法'!$P$153</c:f>
              <c:strCache>
                <c:ptCount val="1"/>
                <c:pt idx="0">
                  <c:v>すべり面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'試行くさび法'!$P$154:$P$166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2738797"/>
        <c:axId val="14515722"/>
      </c:scatterChart>
      <c:valAx>
        <c:axId val="52738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15722"/>
        <c:crosses val="autoZero"/>
        <c:crossBetween val="midCat"/>
        <c:dispUnits/>
      </c:valAx>
      <c:valAx>
        <c:axId val="145157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387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"/>
          <c:w val="0.78775"/>
          <c:h val="0.9345"/>
        </c:manualLayout>
      </c:layout>
      <c:scatterChart>
        <c:scatterStyle val="line"/>
        <c:varyColors val="0"/>
        <c:ser>
          <c:idx val="0"/>
          <c:order val="0"/>
          <c:tx>
            <c:strRef>
              <c:f>'中畑式'!$U$17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'中畑式'!$U$18:$U$30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'中畑式'!$V$17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'中畑式'!$V$18:$V$30</c:f>
              <c:numCache>
                <c:ptCount val="13"/>
                <c:pt idx="5">
                  <c:v>5</c:v>
                </c:pt>
                <c:pt idx="6">
                  <c:v>8</c:v>
                </c:pt>
                <c:pt idx="7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'中畑式'!$W$17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'中畑式'!$W$18:$W$30</c:f>
              <c:numCache>
                <c:ptCount val="13"/>
                <c:pt idx="8">
                  <c:v>0</c:v>
                </c:pt>
                <c:pt idx="9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'中畑式'!$X$17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'中畑式'!$X$18:$X$30</c:f>
              <c:numCache>
                <c:ptCount val="13"/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yVal>
          <c:smooth val="0"/>
        </c:ser>
        <c:axId val="54486659"/>
        <c:axId val="37237928"/>
      </c:scatterChart>
      <c:valAx>
        <c:axId val="54486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37928"/>
        <c:crosses val="autoZero"/>
        <c:crossBetween val="midCat"/>
        <c:dispUnits/>
      </c:valAx>
      <c:valAx>
        <c:axId val="37237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486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7.emf" /><Relationship Id="rId5" Type="http://schemas.openxmlformats.org/officeDocument/2006/relationships/image" Target="../media/image20.emf" /><Relationship Id="rId6" Type="http://schemas.openxmlformats.org/officeDocument/2006/relationships/chart" Target="/xl/charts/chart1.xml" /><Relationship Id="rId7" Type="http://schemas.openxmlformats.org/officeDocument/2006/relationships/image" Target="../media/image23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wmf" /><Relationship Id="rId2" Type="http://schemas.openxmlformats.org/officeDocument/2006/relationships/image" Target="../media/image9.emf" /><Relationship Id="rId3" Type="http://schemas.openxmlformats.org/officeDocument/2006/relationships/image" Target="../media/image18.emf" /><Relationship Id="rId4" Type="http://schemas.openxmlformats.org/officeDocument/2006/relationships/image" Target="../media/image13.emf" /><Relationship Id="rId5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57150</xdr:rowOff>
    </xdr:from>
    <xdr:to>
      <xdr:col>6</xdr:col>
      <xdr:colOff>47625</xdr:colOff>
      <xdr:row>25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14525"/>
          <a:ext cx="46577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31</xdr:row>
      <xdr:rowOff>19050</xdr:rowOff>
    </xdr:from>
    <xdr:to>
      <xdr:col>3</xdr:col>
      <xdr:colOff>809625</xdr:colOff>
      <xdr:row>33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667375"/>
          <a:ext cx="2419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38</xdr:row>
      <xdr:rowOff>171450</xdr:rowOff>
    </xdr:from>
    <xdr:to>
      <xdr:col>3</xdr:col>
      <xdr:colOff>790575</xdr:colOff>
      <xdr:row>42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7048500"/>
          <a:ext cx="2809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44</xdr:row>
      <xdr:rowOff>161925</xdr:rowOff>
    </xdr:from>
    <xdr:to>
      <xdr:col>3</xdr:col>
      <xdr:colOff>276225</xdr:colOff>
      <xdr:row>46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811530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61</xdr:row>
      <xdr:rowOff>114300</xdr:rowOff>
    </xdr:from>
    <xdr:to>
      <xdr:col>5</xdr:col>
      <xdr:colOff>485775</xdr:colOff>
      <xdr:row>63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11049000"/>
          <a:ext cx="3952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19050</xdr:rowOff>
    </xdr:from>
    <xdr:to>
      <xdr:col>6</xdr:col>
      <xdr:colOff>428625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428875"/>
          <a:ext cx="50101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32</xdr:row>
      <xdr:rowOff>142875</xdr:rowOff>
    </xdr:from>
    <xdr:to>
      <xdr:col>2</xdr:col>
      <xdr:colOff>466725</xdr:colOff>
      <xdr:row>34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98170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64</xdr:row>
      <xdr:rowOff>133350</xdr:rowOff>
    </xdr:from>
    <xdr:to>
      <xdr:col>2</xdr:col>
      <xdr:colOff>695325</xdr:colOff>
      <xdr:row>66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1715750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57</xdr:row>
      <xdr:rowOff>133350</xdr:rowOff>
    </xdr:from>
    <xdr:to>
      <xdr:col>7</xdr:col>
      <xdr:colOff>28575</xdr:colOff>
      <xdr:row>61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10458450"/>
          <a:ext cx="502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64</xdr:row>
      <xdr:rowOff>123825</xdr:rowOff>
    </xdr:from>
    <xdr:to>
      <xdr:col>6</xdr:col>
      <xdr:colOff>676275</xdr:colOff>
      <xdr:row>66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117062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66</xdr:row>
      <xdr:rowOff>171450</xdr:rowOff>
    </xdr:from>
    <xdr:to>
      <xdr:col>2</xdr:col>
      <xdr:colOff>666750</xdr:colOff>
      <xdr:row>68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12115800"/>
          <a:ext cx="1990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66</xdr:row>
      <xdr:rowOff>171450</xdr:rowOff>
    </xdr:from>
    <xdr:to>
      <xdr:col>6</xdr:col>
      <xdr:colOff>676275</xdr:colOff>
      <xdr:row>68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9550" y="12115800"/>
          <a:ext cx="2095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36</xdr:row>
      <xdr:rowOff>66675</xdr:rowOff>
    </xdr:from>
    <xdr:to>
      <xdr:col>6</xdr:col>
      <xdr:colOff>657225</xdr:colOff>
      <xdr:row>41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5875" y="6619875"/>
          <a:ext cx="481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43</xdr:row>
      <xdr:rowOff>171450</xdr:rowOff>
    </xdr:from>
    <xdr:to>
      <xdr:col>3</xdr:col>
      <xdr:colOff>809625</xdr:colOff>
      <xdr:row>45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3600" y="7981950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49</xdr:row>
      <xdr:rowOff>171450</xdr:rowOff>
    </xdr:from>
    <xdr:to>
      <xdr:col>3</xdr:col>
      <xdr:colOff>666750</xdr:colOff>
      <xdr:row>51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0" y="9067800"/>
          <a:ext cx="1562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48</xdr:row>
      <xdr:rowOff>19050</xdr:rowOff>
    </xdr:from>
    <xdr:to>
      <xdr:col>3</xdr:col>
      <xdr:colOff>704850</xdr:colOff>
      <xdr:row>49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3525" y="8734425"/>
          <a:ext cx="2066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45</xdr:row>
      <xdr:rowOff>161925</xdr:rowOff>
    </xdr:from>
    <xdr:to>
      <xdr:col>3</xdr:col>
      <xdr:colOff>819150</xdr:colOff>
      <xdr:row>47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4975" y="8334375"/>
          <a:ext cx="200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72</xdr:row>
      <xdr:rowOff>114300</xdr:rowOff>
    </xdr:from>
    <xdr:to>
      <xdr:col>3</xdr:col>
      <xdr:colOff>571500</xdr:colOff>
      <xdr:row>74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57350" y="13125450"/>
          <a:ext cx="180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41</xdr:row>
      <xdr:rowOff>133350</xdr:rowOff>
    </xdr:from>
    <xdr:to>
      <xdr:col>8</xdr:col>
      <xdr:colOff>38100</xdr:colOff>
      <xdr:row>67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10475"/>
          <a:ext cx="70675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12</xdr:row>
      <xdr:rowOff>161925</xdr:rowOff>
    </xdr:from>
    <xdr:to>
      <xdr:col>6</xdr:col>
      <xdr:colOff>342900</xdr:colOff>
      <xdr:row>27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419350"/>
          <a:ext cx="49720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47625</xdr:rowOff>
    </xdr:from>
    <xdr:to>
      <xdr:col>3</xdr:col>
      <xdr:colOff>809625</xdr:colOff>
      <xdr:row>73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294447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30</xdr:row>
      <xdr:rowOff>142875</xdr:rowOff>
    </xdr:from>
    <xdr:to>
      <xdr:col>2</xdr:col>
      <xdr:colOff>847725</xdr:colOff>
      <xdr:row>32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564832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114300</xdr:rowOff>
    </xdr:from>
    <xdr:to>
      <xdr:col>3</xdr:col>
      <xdr:colOff>790575</xdr:colOff>
      <xdr:row>38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515100"/>
          <a:ext cx="2419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130</xdr:row>
      <xdr:rowOff>161925</xdr:rowOff>
    </xdr:from>
    <xdr:to>
      <xdr:col>8</xdr:col>
      <xdr:colOff>866775</xdr:colOff>
      <xdr:row>149</xdr:row>
      <xdr:rowOff>114300</xdr:rowOff>
    </xdr:to>
    <xdr:graphicFrame>
      <xdr:nvGraphicFramePr>
        <xdr:cNvPr id="6" name="Chart 7"/>
        <xdr:cNvGraphicFramePr/>
      </xdr:nvGraphicFramePr>
      <xdr:xfrm>
        <a:off x="428625" y="23260050"/>
        <a:ext cx="770572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723900</xdr:colOff>
      <xdr:row>155</xdr:row>
      <xdr:rowOff>57150</xdr:rowOff>
    </xdr:from>
    <xdr:to>
      <xdr:col>4</xdr:col>
      <xdr:colOff>914400</xdr:colOff>
      <xdr:row>157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27641550"/>
          <a:ext cx="1047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158</xdr:row>
      <xdr:rowOff>95250</xdr:rowOff>
    </xdr:from>
    <xdr:to>
      <xdr:col>6</xdr:col>
      <xdr:colOff>695325</xdr:colOff>
      <xdr:row>176</xdr:row>
      <xdr:rowOff>0</xdr:rowOff>
    </xdr:to>
    <xdr:graphicFrame>
      <xdr:nvGraphicFramePr>
        <xdr:cNvPr id="8" name="Chart 9"/>
        <xdr:cNvGraphicFramePr/>
      </xdr:nvGraphicFramePr>
      <xdr:xfrm>
        <a:off x="1323975" y="28222575"/>
        <a:ext cx="4695825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14</xdr:col>
      <xdr:colOff>504825</xdr:colOff>
      <xdr:row>19</xdr:row>
      <xdr:rowOff>133350</xdr:rowOff>
    </xdr:to>
    <xdr:graphicFrame>
      <xdr:nvGraphicFramePr>
        <xdr:cNvPr id="9" name="Chart 10"/>
        <xdr:cNvGraphicFramePr/>
      </xdr:nvGraphicFramePr>
      <xdr:xfrm>
        <a:off x="8239125" y="581025"/>
        <a:ext cx="4743450" cy="3076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1</xdr:row>
      <xdr:rowOff>38100</xdr:rowOff>
    </xdr:from>
    <xdr:to>
      <xdr:col>11</xdr:col>
      <xdr:colOff>381000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19075"/>
          <a:ext cx="3857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45</xdr:row>
      <xdr:rowOff>19050</xdr:rowOff>
    </xdr:from>
    <xdr:to>
      <xdr:col>8</xdr:col>
      <xdr:colOff>228600</xdr:colOff>
      <xdr:row>49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7791450"/>
          <a:ext cx="501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49</xdr:row>
      <xdr:rowOff>114300</xdr:rowOff>
    </xdr:from>
    <xdr:to>
      <xdr:col>4</xdr:col>
      <xdr:colOff>628650</xdr:colOff>
      <xdr:row>51</xdr:row>
      <xdr:rowOff>161925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8610600"/>
          <a:ext cx="180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51</xdr:row>
      <xdr:rowOff>171450</xdr:rowOff>
    </xdr:from>
    <xdr:to>
      <xdr:col>8</xdr:col>
      <xdr:colOff>114300</xdr:colOff>
      <xdr:row>57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9029700"/>
          <a:ext cx="479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800100</xdr:colOff>
      <xdr:row>1</xdr:row>
      <xdr:rowOff>38100</xdr:rowOff>
    </xdr:from>
    <xdr:to>
      <xdr:col>17</xdr:col>
      <xdr:colOff>428625</xdr:colOff>
      <xdr:row>15</xdr:row>
      <xdr:rowOff>76200</xdr:rowOff>
    </xdr:to>
    <xdr:graphicFrame>
      <xdr:nvGraphicFramePr>
        <xdr:cNvPr id="5" name="Chart 14"/>
        <xdr:cNvGraphicFramePr/>
      </xdr:nvGraphicFramePr>
      <xdr:xfrm>
        <a:off x="10229850" y="219075"/>
        <a:ext cx="4772025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1">
      <selection activeCell="N20" sqref="N20"/>
    </sheetView>
  </sheetViews>
  <sheetFormatPr defaultColWidth="8.796875" defaultRowHeight="14.25"/>
  <cols>
    <col min="1" max="1" width="8.8984375" style="2" customWidth="1"/>
    <col min="2" max="2" width="13.09765625" style="2" customWidth="1"/>
    <col min="3" max="16384" width="8.8984375" style="2" customWidth="1"/>
  </cols>
  <sheetData>
    <row r="2" ht="17.25">
      <c r="B2" s="1" t="s">
        <v>0</v>
      </c>
    </row>
    <row r="4" spans="2:5" ht="13.5">
      <c r="B4" s="2" t="s">
        <v>1</v>
      </c>
      <c r="C4" s="3" t="s">
        <v>6</v>
      </c>
      <c r="D4" s="37">
        <v>5</v>
      </c>
      <c r="E4" s="2" t="s">
        <v>11</v>
      </c>
    </row>
    <row r="5" spans="2:5" ht="15.75">
      <c r="B5" s="2" t="s">
        <v>2</v>
      </c>
      <c r="C5" s="3" t="s">
        <v>7</v>
      </c>
      <c r="D5" s="37">
        <v>10</v>
      </c>
      <c r="E5" s="2" t="s">
        <v>12</v>
      </c>
    </row>
    <row r="6" spans="2:7" ht="13.5">
      <c r="B6" s="2" t="s">
        <v>3</v>
      </c>
      <c r="C6" s="3" t="s">
        <v>8</v>
      </c>
      <c r="D6" s="37">
        <v>15</v>
      </c>
      <c r="E6" s="2" t="s">
        <v>13</v>
      </c>
      <c r="F6" s="2">
        <f>D6*PI()/180</f>
        <v>0.2617993877991494</v>
      </c>
      <c r="G6" s="2" t="s">
        <v>15</v>
      </c>
    </row>
    <row r="7" spans="2:5" ht="15.75">
      <c r="B7" s="2" t="s">
        <v>4</v>
      </c>
      <c r="C7" s="3" t="s">
        <v>9</v>
      </c>
      <c r="D7" s="37">
        <v>20</v>
      </c>
      <c r="E7" s="2" t="s">
        <v>14</v>
      </c>
    </row>
    <row r="8" spans="2:7" ht="13.5">
      <c r="B8" s="2" t="s">
        <v>5</v>
      </c>
      <c r="C8" s="3" t="s">
        <v>10</v>
      </c>
      <c r="D8" s="37">
        <v>35</v>
      </c>
      <c r="E8" s="2" t="s">
        <v>13</v>
      </c>
      <c r="F8" s="2">
        <f>D8*PI()/180</f>
        <v>0.6108652381980153</v>
      </c>
      <c r="G8" s="2" t="s">
        <v>15</v>
      </c>
    </row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30" ht="13.5">
      <c r="B30" s="2" t="s">
        <v>16</v>
      </c>
    </row>
    <row r="32" ht="14.25"/>
    <row r="33" spans="5:9" ht="14.25">
      <c r="E33" s="21" t="s">
        <v>17</v>
      </c>
      <c r="F33" s="2">
        <f>PI()/4+0.5*(F8+F6-ASIN(SIN(F6)/SIN(F8)))</f>
        <v>0.9876548461635438</v>
      </c>
      <c r="G33" s="2" t="s">
        <v>15</v>
      </c>
      <c r="H33" s="2">
        <f>ROUND(F33*180/PI(),2)</f>
        <v>56.59</v>
      </c>
      <c r="I33" s="2" t="s">
        <v>13</v>
      </c>
    </row>
    <row r="34" ht="14.25">
      <c r="E34" s="21"/>
    </row>
    <row r="35" ht="13.5">
      <c r="E35" s="21"/>
    </row>
    <row r="36" spans="2:5" ht="13.5">
      <c r="B36" s="2" t="s">
        <v>18</v>
      </c>
      <c r="E36" s="21"/>
    </row>
    <row r="37" ht="13.5">
      <c r="E37" s="21"/>
    </row>
    <row r="38" spans="3:7" ht="13.5">
      <c r="C38" s="2" t="s">
        <v>19</v>
      </c>
      <c r="D38" s="2">
        <f>COS(F6)</f>
        <v>0.9659258262890683</v>
      </c>
      <c r="E38" s="21"/>
      <c r="F38" s="2" t="s">
        <v>20</v>
      </c>
      <c r="G38" s="2">
        <f>COS(F8)</f>
        <v>0.8191520442889918</v>
      </c>
    </row>
    <row r="39" ht="14.25">
      <c r="E39" s="21"/>
    </row>
    <row r="40" ht="14.25">
      <c r="E40" s="21"/>
    </row>
    <row r="41" spans="5:6" ht="14.25">
      <c r="E41" s="21" t="s">
        <v>17</v>
      </c>
      <c r="F41" s="2">
        <f>ROUND(D38*(D38-(D38^2-G38^2)^0.5)/(D38+(D38^2-G38^2)^0.5),3)</f>
        <v>0.297</v>
      </c>
    </row>
    <row r="42" ht="14.25"/>
    <row r="43" ht="14.25"/>
    <row r="44" ht="13.5">
      <c r="B44" s="2" t="s">
        <v>22</v>
      </c>
    </row>
    <row r="45" ht="14.25"/>
    <row r="46" ht="14.25"/>
    <row r="47" ht="14.25"/>
    <row r="48" spans="3:4" ht="15.75">
      <c r="C48" s="23" t="s">
        <v>23</v>
      </c>
      <c r="D48" s="24" t="s">
        <v>24</v>
      </c>
    </row>
    <row r="49" spans="3:4" ht="13.5">
      <c r="C49" s="25">
        <v>0</v>
      </c>
      <c r="D49" s="26">
        <f>ROUND(($D$7*C49+$D$5)*$F$41,2)</f>
        <v>2.97</v>
      </c>
    </row>
    <row r="50" spans="3:4" ht="13.5">
      <c r="C50" s="25">
        <f>C49+$D$4/10</f>
        <v>0.5</v>
      </c>
      <c r="D50" s="26">
        <f aca="true" t="shared" si="0" ref="D50:D59">ROUND(($D$7*C50+$D$5)*$F$41,2)</f>
        <v>5.94</v>
      </c>
    </row>
    <row r="51" spans="3:4" ht="13.5">
      <c r="C51" s="25">
        <f aca="true" t="shared" si="1" ref="C51:C59">C50+$D$4/10</f>
        <v>1</v>
      </c>
      <c r="D51" s="26">
        <f t="shared" si="0"/>
        <v>8.91</v>
      </c>
    </row>
    <row r="52" spans="3:4" ht="13.5">
      <c r="C52" s="25">
        <f t="shared" si="1"/>
        <v>1.5</v>
      </c>
      <c r="D52" s="26">
        <f t="shared" si="0"/>
        <v>11.88</v>
      </c>
    </row>
    <row r="53" spans="3:4" ht="13.5">
      <c r="C53" s="25">
        <f t="shared" si="1"/>
        <v>2</v>
      </c>
      <c r="D53" s="26">
        <f t="shared" si="0"/>
        <v>14.85</v>
      </c>
    </row>
    <row r="54" spans="3:4" ht="13.5">
      <c r="C54" s="25">
        <f t="shared" si="1"/>
        <v>2.5</v>
      </c>
      <c r="D54" s="26">
        <f t="shared" si="0"/>
        <v>17.82</v>
      </c>
    </row>
    <row r="55" spans="3:4" ht="13.5">
      <c r="C55" s="25">
        <f t="shared" si="1"/>
        <v>3</v>
      </c>
      <c r="D55" s="26">
        <f t="shared" si="0"/>
        <v>20.79</v>
      </c>
    </row>
    <row r="56" spans="3:4" ht="13.5">
      <c r="C56" s="25">
        <f t="shared" si="1"/>
        <v>3.5</v>
      </c>
      <c r="D56" s="26">
        <f t="shared" si="0"/>
        <v>23.76</v>
      </c>
    </row>
    <row r="57" spans="3:4" ht="13.5">
      <c r="C57" s="25">
        <f t="shared" si="1"/>
        <v>4</v>
      </c>
      <c r="D57" s="26">
        <f t="shared" si="0"/>
        <v>26.73</v>
      </c>
    </row>
    <row r="58" spans="3:4" ht="13.5">
      <c r="C58" s="25">
        <f t="shared" si="1"/>
        <v>4.5</v>
      </c>
      <c r="D58" s="26">
        <f t="shared" si="0"/>
        <v>29.7</v>
      </c>
    </row>
    <row r="59" spans="3:4" ht="13.5">
      <c r="C59" s="27">
        <f t="shared" si="1"/>
        <v>5</v>
      </c>
      <c r="D59" s="28">
        <f t="shared" si="0"/>
        <v>32.67</v>
      </c>
    </row>
    <row r="61" ht="13.5">
      <c r="B61" s="2" t="s">
        <v>21</v>
      </c>
    </row>
    <row r="62" ht="14.25"/>
    <row r="63" spans="6:8" ht="14.25">
      <c r="F63" s="4" t="s">
        <v>17</v>
      </c>
      <c r="G63" s="2">
        <f>ROUND(0.5*D7*D4^2*F41+D5*D4*F41,2)</f>
        <v>89.1</v>
      </c>
      <c r="H63" s="2" t="s">
        <v>25</v>
      </c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4"/>
  <sheetViews>
    <sheetView tabSelected="1" workbookViewId="0" topLeftCell="A49">
      <selection activeCell="K17" sqref="K17"/>
    </sheetView>
  </sheetViews>
  <sheetFormatPr defaultColWidth="8.796875" defaultRowHeight="14.25"/>
  <cols>
    <col min="1" max="1" width="8.8984375" style="2" customWidth="1"/>
    <col min="2" max="2" width="12.59765625" style="2" customWidth="1"/>
    <col min="3" max="16384" width="8.8984375" style="2" customWidth="1"/>
  </cols>
  <sheetData>
    <row r="2" ht="17.25">
      <c r="B2" s="1" t="s">
        <v>26</v>
      </c>
    </row>
    <row r="4" spans="2:5" ht="13.5">
      <c r="B4" s="2" t="s">
        <v>1</v>
      </c>
      <c r="C4" s="3" t="s">
        <v>6</v>
      </c>
      <c r="D4" s="37">
        <v>6.5</v>
      </c>
      <c r="E4" s="2" t="s">
        <v>11</v>
      </c>
    </row>
    <row r="5" spans="2:7" ht="13.5">
      <c r="B5" s="2" t="s">
        <v>27</v>
      </c>
      <c r="C5" s="3" t="s">
        <v>28</v>
      </c>
      <c r="D5" s="37">
        <v>16.7</v>
      </c>
      <c r="E5" s="2" t="s">
        <v>13</v>
      </c>
      <c r="F5" s="2">
        <f>D5*PI()/180</f>
        <v>0.291469985083053</v>
      </c>
      <c r="G5" s="2" t="s">
        <v>15</v>
      </c>
    </row>
    <row r="6" spans="2:5" ht="15.75">
      <c r="B6" s="2" t="s">
        <v>2</v>
      </c>
      <c r="C6" s="3" t="s">
        <v>7</v>
      </c>
      <c r="D6" s="37">
        <v>10</v>
      </c>
      <c r="E6" s="2" t="s">
        <v>12</v>
      </c>
    </row>
    <row r="7" spans="2:4" ht="16.5">
      <c r="B7" s="2" t="s">
        <v>29</v>
      </c>
      <c r="C7" s="3" t="s">
        <v>30</v>
      </c>
      <c r="D7" s="37">
        <v>0</v>
      </c>
    </row>
    <row r="8" spans="2:7" ht="13.5">
      <c r="B8" s="2" t="s">
        <v>3</v>
      </c>
      <c r="C8" s="3" t="s">
        <v>8</v>
      </c>
      <c r="D8" s="37">
        <v>0</v>
      </c>
      <c r="E8" s="2" t="s">
        <v>13</v>
      </c>
      <c r="F8" s="2">
        <f>D8*PI()/180</f>
        <v>0</v>
      </c>
      <c r="G8" s="2" t="s">
        <v>15</v>
      </c>
    </row>
    <row r="9" spans="2:5" ht="15.75">
      <c r="B9" s="2" t="s">
        <v>4</v>
      </c>
      <c r="C9" s="3" t="s">
        <v>9</v>
      </c>
      <c r="D9" s="37">
        <v>19</v>
      </c>
      <c r="E9" s="2" t="s">
        <v>14</v>
      </c>
    </row>
    <row r="10" spans="2:7" ht="13.5">
      <c r="B10" s="2" t="s">
        <v>5</v>
      </c>
      <c r="C10" s="3" t="s">
        <v>10</v>
      </c>
      <c r="D10" s="37">
        <v>30</v>
      </c>
      <c r="E10" s="2" t="s">
        <v>13</v>
      </c>
      <c r="F10" s="2">
        <f>D10*PI()/180</f>
        <v>0.5235987755982988</v>
      </c>
      <c r="G10" s="2" t="s">
        <v>15</v>
      </c>
    </row>
    <row r="11" spans="2:7" ht="13.5">
      <c r="B11" s="2" t="s">
        <v>31</v>
      </c>
      <c r="C11" s="3" t="s">
        <v>32</v>
      </c>
      <c r="D11" s="37">
        <f>D10*2/3</f>
        <v>20</v>
      </c>
      <c r="E11" s="2" t="s">
        <v>13</v>
      </c>
      <c r="F11" s="2">
        <f>D11*PI()/180</f>
        <v>0.3490658503988659</v>
      </c>
      <c r="G11" s="2" t="s">
        <v>15</v>
      </c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2" ht="13.5">
      <c r="B32" s="2" t="s">
        <v>33</v>
      </c>
    </row>
    <row r="33" ht="14.25"/>
    <row r="34" spans="3:7" ht="14.25">
      <c r="C34" s="4" t="s">
        <v>17</v>
      </c>
      <c r="D34" s="2">
        <f>ATAN(D7)</f>
        <v>0</v>
      </c>
      <c r="E34" s="2" t="s">
        <v>15</v>
      </c>
      <c r="F34" s="2">
        <f>D34*180/PI()</f>
        <v>0</v>
      </c>
      <c r="G34" s="2" t="s">
        <v>13</v>
      </c>
    </row>
    <row r="35" ht="14.25"/>
    <row r="36" ht="13.5">
      <c r="B36" s="2" t="s">
        <v>38</v>
      </c>
    </row>
    <row r="37" ht="14.25"/>
    <row r="38" ht="14.25"/>
    <row r="39" ht="14.25"/>
    <row r="40" ht="14.25"/>
    <row r="41" ht="14.25"/>
    <row r="42" ht="14.25"/>
    <row r="43" ht="13.5">
      <c r="B43" s="4" t="s">
        <v>35</v>
      </c>
    </row>
    <row r="44" ht="14.25">
      <c r="B44" s="4"/>
    </row>
    <row r="45" spans="2:5" ht="14.25">
      <c r="B45" s="4"/>
      <c r="E45" s="2">
        <f>COS(F10+F11+F5-F8)</f>
        <v>0.395545502562965</v>
      </c>
    </row>
    <row r="46" ht="14.25">
      <c r="B46" s="4"/>
    </row>
    <row r="47" spans="2:5" ht="14.25">
      <c r="B47" s="4"/>
      <c r="E47" s="2">
        <f>COS(F5+F11+D34)*SIN(F10+F11)</f>
        <v>0.6141957769010663</v>
      </c>
    </row>
    <row r="48" ht="14.25">
      <c r="B48" s="4"/>
    </row>
    <row r="49" spans="2:5" ht="14.25">
      <c r="B49" s="4"/>
      <c r="E49" s="2">
        <f>COS(F5-F8)*SIN(F10-F8-D34)</f>
        <v>0.4789112474226574</v>
      </c>
    </row>
    <row r="50" ht="14.25"/>
    <row r="51" ht="14.25">
      <c r="E51" s="2">
        <f>SIN(F10+F11+F5-F8)</f>
        <v>0.9184463813430871</v>
      </c>
    </row>
    <row r="52" ht="14.25"/>
    <row r="53" spans="3:8" ht="13.5">
      <c r="C53" s="4" t="s">
        <v>36</v>
      </c>
      <c r="D53" s="4" t="s">
        <v>39</v>
      </c>
      <c r="E53" s="2">
        <f>ATAN(E45/((E47/E49)^0.5-E51))+F8</f>
        <v>1.0748277727508562</v>
      </c>
      <c r="F53" s="2" t="s">
        <v>15</v>
      </c>
      <c r="G53" s="2">
        <f>E53*180/PI()</f>
        <v>61.58309508207041</v>
      </c>
      <c r="H53" s="2" t="s">
        <v>13</v>
      </c>
    </row>
    <row r="57" ht="13.5">
      <c r="B57" s="2" t="s">
        <v>34</v>
      </c>
    </row>
    <row r="58" ht="14.25"/>
    <row r="59" ht="14.25"/>
    <row r="60" ht="14.25"/>
    <row r="61" ht="14.25"/>
    <row r="62" ht="14.25"/>
    <row r="64" ht="13.5">
      <c r="B64" s="4" t="s">
        <v>35</v>
      </c>
    </row>
    <row r="65" ht="14.25"/>
    <row r="66" spans="4:8" ht="14.25">
      <c r="D66" s="2">
        <f>(COS(F10-F5-D34))^2</f>
        <v>0.9470771184196841</v>
      </c>
      <c r="H66" s="2">
        <f>COS(D34)*COS(F5)^2*COS(F5+F11+D34)</f>
        <v>0.7355681638286466</v>
      </c>
    </row>
    <row r="67" ht="14.25"/>
    <row r="68" spans="4:8" ht="14.25">
      <c r="D68" s="2">
        <f>SIN(F10+F11)*SIN(F10-F8-D34)</f>
        <v>0.3830222215594889</v>
      </c>
      <c r="H68" s="2">
        <f>COS(F5+F11+D34)*COS(F5-F8)</f>
        <v>0.7679587478757621</v>
      </c>
    </row>
    <row r="69" ht="14.25"/>
    <row r="70" spans="3:5" ht="13.5">
      <c r="C70" s="4" t="s">
        <v>36</v>
      </c>
      <c r="D70" s="4" t="s">
        <v>37</v>
      </c>
      <c r="E70" s="2">
        <f>ROUND(D66/(H66*(1+(D68/H68)^0.5)^2),3)</f>
        <v>0.442</v>
      </c>
    </row>
    <row r="72" ht="13.5">
      <c r="B72" s="2" t="s">
        <v>21</v>
      </c>
    </row>
    <row r="73" ht="14.25"/>
    <row r="74" spans="4:6" ht="14.25">
      <c r="D74" s="4" t="s">
        <v>17</v>
      </c>
      <c r="E74" s="2">
        <f>0.5*D9*D4^2*E70+D6*D4*E70</f>
        <v>206.13774999999998</v>
      </c>
      <c r="F74" s="2" t="s">
        <v>25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rowBreaks count="1" manualBreakCount="1">
    <brk id="4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66"/>
  <sheetViews>
    <sheetView workbookViewId="0" topLeftCell="A1">
      <selection activeCell="I37" sqref="I37"/>
    </sheetView>
  </sheetViews>
  <sheetFormatPr defaultColWidth="8.796875" defaultRowHeight="14.25"/>
  <cols>
    <col min="1" max="1" width="8.8984375" style="2" customWidth="1"/>
    <col min="2" max="2" width="8.59765625" style="2" customWidth="1"/>
    <col min="3" max="4" width="9" style="2" bestFit="1" customWidth="1"/>
    <col min="5" max="9" width="10.19921875" style="2" bestFit="1" customWidth="1"/>
    <col min="10" max="16384" width="8.8984375" style="2" customWidth="1"/>
  </cols>
  <sheetData>
    <row r="2" ht="17.25">
      <c r="B2" s="1" t="s">
        <v>40</v>
      </c>
    </row>
    <row r="4" spans="2:5" ht="13.5">
      <c r="B4" s="4" t="s">
        <v>1</v>
      </c>
      <c r="C4" s="3" t="s">
        <v>6</v>
      </c>
      <c r="D4" s="37">
        <v>5</v>
      </c>
      <c r="E4" s="2" t="s">
        <v>11</v>
      </c>
    </row>
    <row r="5" spans="2:5" ht="16.5">
      <c r="B5" s="4" t="s">
        <v>41</v>
      </c>
      <c r="C5" s="3" t="s">
        <v>42</v>
      </c>
      <c r="D5" s="37">
        <v>3</v>
      </c>
      <c r="E5" s="2" t="s">
        <v>43</v>
      </c>
    </row>
    <row r="6" spans="2:7" ht="13.5">
      <c r="B6" s="4" t="s">
        <v>27</v>
      </c>
      <c r="C6" s="3" t="s">
        <v>28</v>
      </c>
      <c r="D6" s="37">
        <v>25</v>
      </c>
      <c r="E6" s="2" t="s">
        <v>13</v>
      </c>
      <c r="F6" s="2">
        <f>D6*PI()/180</f>
        <v>0.4363323129985824</v>
      </c>
      <c r="G6" s="2" t="s">
        <v>15</v>
      </c>
    </row>
    <row r="7" spans="2:7" ht="13.5">
      <c r="B7" s="4" t="s">
        <v>3</v>
      </c>
      <c r="C7" s="3" t="s">
        <v>8</v>
      </c>
      <c r="D7" s="37">
        <v>30</v>
      </c>
      <c r="E7" s="2" t="s">
        <v>13</v>
      </c>
      <c r="F7" s="2">
        <f>D7*PI()/180</f>
        <v>0.5235987755982988</v>
      </c>
      <c r="G7" s="2" t="s">
        <v>15</v>
      </c>
    </row>
    <row r="8" spans="2:5" ht="15.75">
      <c r="B8" s="4" t="s">
        <v>2</v>
      </c>
      <c r="C8" s="3" t="s">
        <v>7</v>
      </c>
      <c r="D8" s="37">
        <v>0</v>
      </c>
      <c r="E8" s="2" t="s">
        <v>12</v>
      </c>
    </row>
    <row r="9" spans="2:4" ht="16.5">
      <c r="B9" s="4" t="s">
        <v>29</v>
      </c>
      <c r="C9" s="3" t="s">
        <v>30</v>
      </c>
      <c r="D9" s="37">
        <v>0.15</v>
      </c>
    </row>
    <row r="10" spans="2:5" ht="15.75">
      <c r="B10" s="4" t="s">
        <v>4</v>
      </c>
      <c r="C10" s="3" t="s">
        <v>9</v>
      </c>
      <c r="D10" s="37">
        <v>19</v>
      </c>
      <c r="E10" s="2" t="s">
        <v>14</v>
      </c>
    </row>
    <row r="11" spans="2:7" ht="13.5">
      <c r="B11" s="4" t="s">
        <v>5</v>
      </c>
      <c r="C11" s="3" t="s">
        <v>10</v>
      </c>
      <c r="D11" s="37">
        <v>30</v>
      </c>
      <c r="E11" s="2" t="s">
        <v>13</v>
      </c>
      <c r="F11" s="2">
        <f>D11*PI()/180</f>
        <v>0.5235987755982988</v>
      </c>
      <c r="G11" s="2" t="s">
        <v>15</v>
      </c>
    </row>
    <row r="12" spans="2:7" ht="13.5">
      <c r="B12" s="4" t="s">
        <v>31</v>
      </c>
      <c r="C12" s="3" t="s">
        <v>32</v>
      </c>
      <c r="D12" s="37">
        <v>10</v>
      </c>
      <c r="E12" s="2" t="s">
        <v>13</v>
      </c>
      <c r="F12" s="2">
        <f>D12*PI()/180</f>
        <v>0.17453292519943295</v>
      </c>
      <c r="G12" s="2" t="s">
        <v>15</v>
      </c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3.5">
      <c r="B30" s="2" t="s">
        <v>33</v>
      </c>
    </row>
    <row r="31" ht="14.25"/>
    <row r="32" spans="3:7" ht="14.25">
      <c r="C32" s="4" t="s">
        <v>17</v>
      </c>
      <c r="D32" s="2">
        <f>ATAN(D9)</f>
        <v>0.14888994760949725</v>
      </c>
      <c r="E32" s="2" t="s">
        <v>15</v>
      </c>
      <c r="F32" s="2">
        <f>D32*180/PI()</f>
        <v>8.530765609948133</v>
      </c>
      <c r="G32" s="2" t="s">
        <v>13</v>
      </c>
    </row>
    <row r="33" ht="14.25"/>
    <row r="34" ht="13.5">
      <c r="B34" s="2" t="s">
        <v>49</v>
      </c>
    </row>
    <row r="36" ht="14.25"/>
    <row r="37" ht="14.25"/>
    <row r="38" ht="14.25"/>
    <row r="39" ht="14.25"/>
    <row r="41" ht="13.5">
      <c r="B41" s="2" t="s">
        <v>44</v>
      </c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70" ht="13.5">
      <c r="B70" s="2" t="s">
        <v>45</v>
      </c>
    </row>
    <row r="72" ht="14.25"/>
    <row r="73" spans="5:9" ht="14.25">
      <c r="E73" s="2" t="s">
        <v>46</v>
      </c>
      <c r="F73" s="2">
        <f>IF(D7=0,PI()/2,ATAN((D4+D5)/(D5/TAN(F7)-D4*TAN(F6))))</f>
        <v>1.226944368003581</v>
      </c>
      <c r="G73" s="2" t="s">
        <v>47</v>
      </c>
      <c r="H73" s="2">
        <f>F73*180/PI()</f>
        <v>70.29873398395131</v>
      </c>
      <c r="I73" s="2" t="s">
        <v>48</v>
      </c>
    </row>
    <row r="74" ht="14.25"/>
    <row r="77" ht="13.5">
      <c r="L77" s="2" t="s">
        <v>72</v>
      </c>
    </row>
    <row r="78" spans="2:15" ht="16.5">
      <c r="B78" s="6" t="s">
        <v>50</v>
      </c>
      <c r="C78" s="5" t="s">
        <v>51</v>
      </c>
      <c r="D78" s="5" t="s">
        <v>56</v>
      </c>
      <c r="E78" s="5" t="s">
        <v>52</v>
      </c>
      <c r="F78" s="7" t="s">
        <v>53</v>
      </c>
      <c r="G78" s="7" t="s">
        <v>54</v>
      </c>
      <c r="H78" s="5" t="s">
        <v>57</v>
      </c>
      <c r="I78" s="5" t="s">
        <v>55</v>
      </c>
      <c r="L78" s="6" t="s">
        <v>55</v>
      </c>
      <c r="M78" s="6" t="s">
        <v>50</v>
      </c>
      <c r="N78" s="6" t="s">
        <v>56</v>
      </c>
      <c r="O78" s="6" t="s">
        <v>57</v>
      </c>
    </row>
    <row r="79" spans="2:15" ht="13.5">
      <c r="B79" s="8">
        <f>D11</f>
        <v>30</v>
      </c>
      <c r="C79" s="9">
        <f>B79*PI()/180</f>
        <v>0.5235987755982988</v>
      </c>
      <c r="D79" s="10">
        <f>IF($D$5=0,$D$4*COS(C79-$F$6)/SIN(C79)/COS($F$6),IF(C79&lt;$F$73,(TAN($F$6)+1/TAN(C79))*$D$4+(1/TAN(C79)-1/TAN($F$7))*$D$5,0))</f>
        <v>10.99179232861938</v>
      </c>
      <c r="E79" s="10">
        <f>0.5*$D$10*$D$4^2*COS(C79-$F$6)/SIN(C79)/COS($F$6)+$D$8*D79</f>
        <v>522.1101356094206</v>
      </c>
      <c r="F79" s="10" t="e">
        <f>0.5*$D$10*$D$4^2*COS(C79-$F$6)*COS($F$6-$F$7)/SIN(C79-$F$7)/COS($F$6)^2</f>
        <v>#DIV/0!</v>
      </c>
      <c r="G79" s="10">
        <f>IF($D$7=0,0,$D$10/2*(COS(C79-$F$6)/SIN(C79)*($D$4+$D$5)^2-COS($F$6-$F$7)/SIN($F$7)*$D$5^2)/COS($F$6)+$D$8*D79)</f>
        <v>1148.6422983407253</v>
      </c>
      <c r="H79" s="10">
        <f>IF($D$5=0,E79,IF($F$7=0,E79,IF(C79&gt;$F$73,F79,G79)))</f>
        <v>1148.6422983407253</v>
      </c>
      <c r="I79" s="10">
        <f>SIN(C79-$F$11+$D$32)/COS(C79-$F$11-$F$12-$F$6)/COS($D$32)*H79</f>
        <v>210.33499940863695</v>
      </c>
      <c r="L79" s="11">
        <f>I79</f>
        <v>210.33499940863695</v>
      </c>
      <c r="M79" s="12">
        <f>B79</f>
        <v>30</v>
      </c>
      <c r="N79" s="11">
        <f>D79</f>
        <v>10.99179232861938</v>
      </c>
      <c r="O79" s="11">
        <f>H79</f>
        <v>1148.6422983407253</v>
      </c>
    </row>
    <row r="80" spans="2:15" ht="13.5">
      <c r="B80" s="8">
        <f>MIN(B79+1,89)</f>
        <v>31</v>
      </c>
      <c r="C80" s="9">
        <f aca="true" t="shared" si="0" ref="C80:C129">B80*PI()/180</f>
        <v>0.5410520681182421</v>
      </c>
      <c r="D80" s="10">
        <f aca="true" t="shared" si="1" ref="D80:D129">IF($D$5=0,$D$4*COS(C80-$F$6)/SIN(C80)/COS($F$6),IF(C80&lt;$F$73,(TAN($F$6)+1/TAN(C80))*$D$4+(1/TAN(C80)-1/TAN($F$7))*$D$5,0))</f>
        <v>10.449621726872506</v>
      </c>
      <c r="E80" s="10">
        <f aca="true" t="shared" si="2" ref="E80:E93">0.5*$D$10*$D$4^2*COS(C80-$F$6)/SIN(C80)/COS($F$6)+$D$8*D80</f>
        <v>506.0144458700602</v>
      </c>
      <c r="F80" s="10">
        <f aca="true" t="shared" si="3" ref="F80:F93">0.5*$D$10*$D$4^2*COS(C80-$F$6)*COS($F$6-$F$7)/SIN(C80-$F$7)/COS($F$6)^2</f>
        <v>16414.038493018426</v>
      </c>
      <c r="G80" s="10">
        <f aca="true" t="shared" si="4" ref="G80:G129">IF($D$7=0,0,$D$10/2*(COS(C80-$F$6)/SIN(C80)*($D$4+$D$5)^2-COS($F$6-$F$7)/SIN($F$7)*$D$5^2)/COS($F$6)+$D$8*D80)</f>
        <v>1107.4373326079626</v>
      </c>
      <c r="H80" s="10">
        <f aca="true" t="shared" si="5" ref="H80:H93">IF($D$5=0,E80,IF($F$7=0,E80,IF(C80&gt;$F$73,F80,G80)))</f>
        <v>1107.4373326079626</v>
      </c>
      <c r="I80" s="10">
        <f aca="true" t="shared" si="6" ref="I80:I93">SIN(C80-$F$11+$D$32)/COS(C80-$F$11-$F$12-$F$6)/COS($D$32)*H80</f>
        <v>223.65421333291502</v>
      </c>
      <c r="L80" s="11">
        <f aca="true" t="shared" si="7" ref="L80:L101">I80</f>
        <v>223.65421333291502</v>
      </c>
      <c r="M80" s="12">
        <f aca="true" t="shared" si="8" ref="M80:M101">B80</f>
        <v>31</v>
      </c>
      <c r="N80" s="11">
        <f aca="true" t="shared" si="9" ref="N80:N101">D80</f>
        <v>10.449621726872506</v>
      </c>
      <c r="O80" s="11">
        <f aca="true" t="shared" si="10" ref="O80:O101">H80</f>
        <v>1107.4373326079626</v>
      </c>
    </row>
    <row r="81" spans="2:15" ht="13.5">
      <c r="B81" s="8">
        <f aca="true" t="shared" si="11" ref="B81:B129">MIN(B80+1,89)</f>
        <v>32</v>
      </c>
      <c r="C81" s="9">
        <f t="shared" si="0"/>
        <v>0.5585053606381855</v>
      </c>
      <c r="D81" s="10">
        <f t="shared" si="1"/>
        <v>9.938062100396765</v>
      </c>
      <c r="E81" s="10">
        <f t="shared" si="2"/>
        <v>490.82751945906165</v>
      </c>
      <c r="F81" s="10">
        <f t="shared" si="3"/>
        <v>8191.962638734284</v>
      </c>
      <c r="G81" s="10">
        <f t="shared" si="4"/>
        <v>1068.5588009958065</v>
      </c>
      <c r="H81" s="10">
        <f t="shared" si="5"/>
        <v>1068.5588009958065</v>
      </c>
      <c r="I81" s="10">
        <f t="shared" si="6"/>
        <v>235.46592843054464</v>
      </c>
      <c r="L81" s="11">
        <f t="shared" si="7"/>
        <v>235.46592843054464</v>
      </c>
      <c r="M81" s="12">
        <f t="shared" si="8"/>
        <v>32</v>
      </c>
      <c r="N81" s="11">
        <f t="shared" si="9"/>
        <v>9.938062100396765</v>
      </c>
      <c r="O81" s="11">
        <f t="shared" si="10"/>
        <v>1068.5588009958065</v>
      </c>
    </row>
    <row r="82" spans="2:15" ht="13.5">
      <c r="B82" s="8">
        <f t="shared" si="11"/>
        <v>33</v>
      </c>
      <c r="C82" s="9">
        <f t="shared" si="0"/>
        <v>0.5759586531581288</v>
      </c>
      <c r="D82" s="10">
        <f t="shared" si="1"/>
        <v>9.454305578585023</v>
      </c>
      <c r="E82" s="10">
        <f t="shared" si="2"/>
        <v>476.4659977177756</v>
      </c>
      <c r="F82" s="10">
        <f t="shared" si="3"/>
        <v>5450.157198110688</v>
      </c>
      <c r="G82" s="10">
        <f t="shared" si="4"/>
        <v>1031.7933053381141</v>
      </c>
      <c r="H82" s="10">
        <f t="shared" si="5"/>
        <v>1031.7933053381141</v>
      </c>
      <c r="I82" s="10">
        <f t="shared" si="6"/>
        <v>245.92565032110107</v>
      </c>
      <c r="L82" s="11">
        <f t="shared" si="7"/>
        <v>245.92565032110107</v>
      </c>
      <c r="M82" s="12">
        <f t="shared" si="8"/>
        <v>33</v>
      </c>
      <c r="N82" s="11">
        <f t="shared" si="9"/>
        <v>9.454305578585023</v>
      </c>
      <c r="O82" s="11">
        <f t="shared" si="10"/>
        <v>1031.7933053381141</v>
      </c>
    </row>
    <row r="83" spans="2:15" ht="13.5">
      <c r="B83" s="8">
        <f t="shared" si="11"/>
        <v>34</v>
      </c>
      <c r="C83" s="9">
        <f t="shared" si="0"/>
        <v>0.5934119456780721</v>
      </c>
      <c r="D83" s="10">
        <f t="shared" si="1"/>
        <v>8.995873616170282</v>
      </c>
      <c r="E83" s="10">
        <f t="shared" si="2"/>
        <v>462.85629883358797</v>
      </c>
      <c r="F83" s="10">
        <f t="shared" si="3"/>
        <v>4078.418851861484</v>
      </c>
      <c r="G83" s="10">
        <f t="shared" si="4"/>
        <v>996.9524761945936</v>
      </c>
      <c r="H83" s="10">
        <f t="shared" si="5"/>
        <v>996.9524761945936</v>
      </c>
      <c r="I83" s="10">
        <f t="shared" si="6"/>
        <v>255.16895191993171</v>
      </c>
      <c r="L83" s="11">
        <f t="shared" si="7"/>
        <v>255.16895191993171</v>
      </c>
      <c r="M83" s="12">
        <f t="shared" si="8"/>
        <v>34</v>
      </c>
      <c r="N83" s="11">
        <f t="shared" si="9"/>
        <v>8.995873616170282</v>
      </c>
      <c r="O83" s="11">
        <f t="shared" si="10"/>
        <v>996.9524761945936</v>
      </c>
    </row>
    <row r="84" spans="2:15" ht="13.5">
      <c r="B84" s="8">
        <f t="shared" si="11"/>
        <v>35</v>
      </c>
      <c r="C84" s="9">
        <f t="shared" si="0"/>
        <v>0.6108652381980153</v>
      </c>
      <c r="D84" s="10">
        <f t="shared" si="1"/>
        <v>8.560569922005277</v>
      </c>
      <c r="E84" s="10">
        <f t="shared" si="2"/>
        <v>449.93322041306436</v>
      </c>
      <c r="F84" s="10">
        <f t="shared" si="3"/>
        <v>3254.706772739824</v>
      </c>
      <c r="G84" s="10">
        <f t="shared" si="4"/>
        <v>963.8693954380534</v>
      </c>
      <c r="H84" s="10">
        <f t="shared" si="5"/>
        <v>963.8693954380534</v>
      </c>
      <c r="I84" s="10">
        <f t="shared" si="6"/>
        <v>263.31443544598716</v>
      </c>
      <c r="L84" s="11">
        <f t="shared" si="7"/>
        <v>263.31443544598716</v>
      </c>
      <c r="M84" s="12">
        <f t="shared" si="8"/>
        <v>35</v>
      </c>
      <c r="N84" s="11">
        <f t="shared" si="9"/>
        <v>8.560569922005277</v>
      </c>
      <c r="O84" s="11">
        <f t="shared" si="10"/>
        <v>963.8693954380534</v>
      </c>
    </row>
    <row r="85" spans="2:15" ht="13.5">
      <c r="B85" s="8">
        <f t="shared" si="11"/>
        <v>36</v>
      </c>
      <c r="C85" s="9">
        <f t="shared" si="0"/>
        <v>0.6283185307179586</v>
      </c>
      <c r="D85" s="10">
        <f t="shared" si="1"/>
        <v>8.146441231837748</v>
      </c>
      <c r="E85" s="10">
        <f t="shared" si="2"/>
        <v>437.6387749237159</v>
      </c>
      <c r="F85" s="10">
        <f t="shared" si="3"/>
        <v>2705.0072150907235</v>
      </c>
      <c r="G85" s="10">
        <f t="shared" si="4"/>
        <v>932.3956149853212</v>
      </c>
      <c r="H85" s="10">
        <f t="shared" si="5"/>
        <v>932.3956149853212</v>
      </c>
      <c r="I85" s="10">
        <f t="shared" si="6"/>
        <v>270.4661889026619</v>
      </c>
      <c r="L85" s="11">
        <f t="shared" si="7"/>
        <v>270.4661889026619</v>
      </c>
      <c r="M85" s="12">
        <f t="shared" si="8"/>
        <v>36</v>
      </c>
      <c r="N85" s="11">
        <f t="shared" si="9"/>
        <v>8.146441231837748</v>
      </c>
      <c r="O85" s="11">
        <f t="shared" si="10"/>
        <v>932.3956149853212</v>
      </c>
    </row>
    <row r="86" spans="2:15" ht="13.5">
      <c r="B86" s="8">
        <f t="shared" si="11"/>
        <v>37</v>
      </c>
      <c r="C86" s="9">
        <f t="shared" si="0"/>
        <v>0.6457718232379019</v>
      </c>
      <c r="D86" s="10">
        <f t="shared" si="1"/>
        <v>7.75174444103164</v>
      </c>
      <c r="E86" s="10">
        <f t="shared" si="2"/>
        <v>425.9212139466596</v>
      </c>
      <c r="F86" s="10">
        <f t="shared" si="3"/>
        <v>2311.8855989702997</v>
      </c>
      <c r="G86" s="10">
        <f t="shared" si="4"/>
        <v>902.3986588840571</v>
      </c>
      <c r="H86" s="10">
        <f t="shared" si="5"/>
        <v>902.3986588840571</v>
      </c>
      <c r="I86" s="10">
        <f t="shared" si="6"/>
        <v>276.7158339205892</v>
      </c>
      <c r="L86" s="11">
        <f t="shared" si="7"/>
        <v>276.7158339205892</v>
      </c>
      <c r="M86" s="12">
        <f t="shared" si="8"/>
        <v>37</v>
      </c>
      <c r="N86" s="11">
        <f t="shared" si="9"/>
        <v>7.75174444103164</v>
      </c>
      <c r="O86" s="11">
        <f t="shared" si="10"/>
        <v>902.3986588840571</v>
      </c>
    </row>
    <row r="87" spans="2:15" ht="13.5">
      <c r="B87" s="8">
        <f t="shared" si="11"/>
        <v>38</v>
      </c>
      <c r="C87" s="9">
        <f t="shared" si="0"/>
        <v>0.6632251157578452</v>
      </c>
      <c r="D87" s="10">
        <f t="shared" si="1"/>
        <v>7.374918925612993</v>
      </c>
      <c r="E87" s="10">
        <f t="shared" si="2"/>
        <v>414.73420645766845</v>
      </c>
      <c r="F87" s="10">
        <f t="shared" si="3"/>
        <v>2016.6245310850964</v>
      </c>
      <c r="G87" s="10">
        <f t="shared" si="4"/>
        <v>873.7599197122399</v>
      </c>
      <c r="H87" s="10">
        <f t="shared" si="5"/>
        <v>873.7599197122399</v>
      </c>
      <c r="I87" s="10">
        <f t="shared" si="6"/>
        <v>282.1442412955977</v>
      </c>
      <c r="L87" s="11">
        <f t="shared" si="7"/>
        <v>282.1442412955977</v>
      </c>
      <c r="M87" s="12">
        <f t="shared" si="8"/>
        <v>38</v>
      </c>
      <c r="N87" s="11">
        <f t="shared" si="9"/>
        <v>7.374918925612993</v>
      </c>
      <c r="O87" s="11">
        <f t="shared" si="10"/>
        <v>873.7599197122399</v>
      </c>
    </row>
    <row r="88" spans="2:15" ht="13.5">
      <c r="B88" s="8">
        <f t="shared" si="11"/>
        <v>39</v>
      </c>
      <c r="C88" s="9">
        <f t="shared" si="0"/>
        <v>0.6806784082777885</v>
      </c>
      <c r="D88" s="10">
        <f t="shared" si="1"/>
        <v>7.014563120348773</v>
      </c>
      <c r="E88" s="10">
        <f t="shared" si="2"/>
        <v>404.03614348888686</v>
      </c>
      <c r="F88" s="10">
        <f t="shared" si="3"/>
        <v>1786.6031450240475</v>
      </c>
      <c r="G88" s="10">
        <f t="shared" si="4"/>
        <v>846.3728785121591</v>
      </c>
      <c r="H88" s="10">
        <f t="shared" si="5"/>
        <v>846.3728785121591</v>
      </c>
      <c r="I88" s="10">
        <f t="shared" si="6"/>
        <v>286.8229747643017</v>
      </c>
      <c r="L88" s="11">
        <f t="shared" si="7"/>
        <v>286.8229747643017</v>
      </c>
      <c r="M88" s="12">
        <f t="shared" si="8"/>
        <v>39</v>
      </c>
      <c r="N88" s="11">
        <f t="shared" si="9"/>
        <v>7.014563120348773</v>
      </c>
      <c r="O88" s="11">
        <f t="shared" si="10"/>
        <v>846.3728785121591</v>
      </c>
    </row>
    <row r="89" spans="2:15" ht="13.5">
      <c r="B89" s="8">
        <f t="shared" si="11"/>
        <v>40</v>
      </c>
      <c r="C89" s="9">
        <f t="shared" si="0"/>
        <v>0.6981317007977318</v>
      </c>
      <c r="D89" s="10">
        <f t="shared" si="1"/>
        <v>6.66941460882204</v>
      </c>
      <c r="E89" s="10">
        <f t="shared" si="2"/>
        <v>393.7895470529371</v>
      </c>
      <c r="F89" s="10">
        <f t="shared" si="3"/>
        <v>1602.2488372774308</v>
      </c>
      <c r="G89" s="10">
        <f t="shared" si="4"/>
        <v>820.1415916361276</v>
      </c>
      <c r="H89" s="10">
        <f t="shared" si="5"/>
        <v>820.1415916361276</v>
      </c>
      <c r="I89" s="10">
        <f t="shared" si="6"/>
        <v>290.81551133959925</v>
      </c>
      <c r="L89" s="11">
        <f t="shared" si="7"/>
        <v>290.81551133959925</v>
      </c>
      <c r="M89" s="12">
        <f t="shared" si="8"/>
        <v>40</v>
      </c>
      <c r="N89" s="11">
        <f t="shared" si="9"/>
        <v>6.66941460882204</v>
      </c>
      <c r="O89" s="11">
        <f t="shared" si="10"/>
        <v>820.1415916361276</v>
      </c>
    </row>
    <row r="90" spans="2:15" ht="13.5">
      <c r="B90" s="8">
        <f t="shared" si="11"/>
        <v>41</v>
      </c>
      <c r="C90" s="9">
        <f t="shared" si="0"/>
        <v>0.715584993317675</v>
      </c>
      <c r="D90" s="10">
        <f t="shared" si="1"/>
        <v>6.338333125836439</v>
      </c>
      <c r="E90" s="10">
        <f t="shared" si="2"/>
        <v>383.960565526802</v>
      </c>
      <c r="F90" s="10">
        <f t="shared" si="3"/>
        <v>1451.1062380865903</v>
      </c>
      <c r="G90" s="10">
        <f t="shared" si="4"/>
        <v>794.9793989292217</v>
      </c>
      <c r="H90" s="10">
        <f t="shared" si="5"/>
        <v>794.9793989292217</v>
      </c>
      <c r="I90" s="10">
        <f t="shared" si="6"/>
        <v>294.17827700517626</v>
      </c>
      <c r="L90" s="11">
        <f t="shared" si="7"/>
        <v>294.17827700517626</v>
      </c>
      <c r="M90" s="12">
        <f t="shared" si="8"/>
        <v>41</v>
      </c>
      <c r="N90" s="11">
        <f t="shared" si="9"/>
        <v>6.338333125836439</v>
      </c>
      <c r="O90" s="11">
        <f t="shared" si="10"/>
        <v>794.9793989292217</v>
      </c>
    </row>
    <row r="91" spans="2:15" ht="13.5">
      <c r="B91" s="8">
        <f t="shared" si="11"/>
        <v>42</v>
      </c>
      <c r="C91" s="9">
        <f t="shared" si="0"/>
        <v>0.7330382858376184</v>
      </c>
      <c r="D91" s="10">
        <f t="shared" si="1"/>
        <v>6.0202859867019045</v>
      </c>
      <c r="E91" s="10">
        <f t="shared" si="2"/>
        <v>374.51854108374545</v>
      </c>
      <c r="F91" s="10">
        <f t="shared" si="3"/>
        <v>1324.8716968056094</v>
      </c>
      <c r="G91" s="10">
        <f t="shared" si="4"/>
        <v>770.8078163549969</v>
      </c>
      <c r="H91" s="10">
        <f t="shared" si="5"/>
        <v>770.8078163549969</v>
      </c>
      <c r="I91" s="10">
        <f t="shared" si="6"/>
        <v>296.9615290976968</v>
      </c>
      <c r="L91" s="11">
        <f t="shared" si="7"/>
        <v>296.9615290976968</v>
      </c>
      <c r="M91" s="12">
        <f t="shared" si="8"/>
        <v>42</v>
      </c>
      <c r="N91" s="11">
        <f t="shared" si="9"/>
        <v>6.0202859867019045</v>
      </c>
      <c r="O91" s="11">
        <f t="shared" si="10"/>
        <v>770.8078163549969</v>
      </c>
    </row>
    <row r="92" spans="2:15" ht="13.5">
      <c r="B92" s="8">
        <f t="shared" si="11"/>
        <v>43</v>
      </c>
      <c r="C92" s="9">
        <f t="shared" si="0"/>
        <v>0.7504915783575616</v>
      </c>
      <c r="D92" s="10">
        <f t="shared" si="1"/>
        <v>5.714335548265822</v>
      </c>
      <c r="E92" s="10">
        <f t="shared" si="2"/>
        <v>365.43563744267436</v>
      </c>
      <c r="F92" s="10">
        <f t="shared" si="3"/>
        <v>1217.7964662675781</v>
      </c>
      <c r="G92" s="10">
        <f t="shared" si="4"/>
        <v>747.5555830338548</v>
      </c>
      <c r="H92" s="10">
        <f t="shared" si="5"/>
        <v>747.5555830338548</v>
      </c>
      <c r="I92" s="10">
        <f t="shared" si="6"/>
        <v>299.21011080851827</v>
      </c>
      <c r="L92" s="11">
        <f t="shared" si="7"/>
        <v>299.21011080851827</v>
      </c>
      <c r="M92" s="12">
        <f t="shared" si="8"/>
        <v>43</v>
      </c>
      <c r="N92" s="11">
        <f t="shared" si="9"/>
        <v>5.714335548265822</v>
      </c>
      <c r="O92" s="11">
        <f t="shared" si="10"/>
        <v>747.5555830338548</v>
      </c>
    </row>
    <row r="93" spans="2:15" ht="13.5">
      <c r="B93" s="8">
        <f t="shared" si="11"/>
        <v>44</v>
      </c>
      <c r="C93" s="9">
        <f t="shared" si="0"/>
        <v>0.767944870877505</v>
      </c>
      <c r="D93" s="10">
        <f t="shared" si="1"/>
        <v>5.4196283783929164</v>
      </c>
      <c r="E93" s="10">
        <f t="shared" si="2"/>
        <v>356.68651833707247</v>
      </c>
      <c r="F93" s="10">
        <f t="shared" si="3"/>
        <v>1125.7742366521854</v>
      </c>
      <c r="G93" s="10">
        <f t="shared" si="4"/>
        <v>725.157838123514</v>
      </c>
      <c r="H93" s="10">
        <f t="shared" si="5"/>
        <v>725.157838123514</v>
      </c>
      <c r="I93" s="10">
        <f t="shared" si="6"/>
        <v>300.96409855445665</v>
      </c>
      <c r="L93" s="11">
        <f t="shared" si="7"/>
        <v>300.96409855445665</v>
      </c>
      <c r="M93" s="12">
        <f t="shared" si="8"/>
        <v>44</v>
      </c>
      <c r="N93" s="11">
        <f t="shared" si="9"/>
        <v>5.4196283783929164</v>
      </c>
      <c r="O93" s="11">
        <f t="shared" si="10"/>
        <v>725.157838123514</v>
      </c>
    </row>
    <row r="94" spans="2:15" ht="13.5">
      <c r="B94" s="8">
        <f t="shared" si="11"/>
        <v>45</v>
      </c>
      <c r="C94" s="9">
        <f t="shared" si="0"/>
        <v>0.7853981633974483</v>
      </c>
      <c r="D94" s="10">
        <f t="shared" si="1"/>
        <v>5.135385868068361</v>
      </c>
      <c r="E94" s="10">
        <f>0.5*$D$10*$D$4^2*COS(C94-$F$6)/SIN(C94)/COS($F$6)+$D$8*D94</f>
        <v>348.24806881181223</v>
      </c>
      <c r="F94" s="10">
        <f>0.5*$D$10*$D$4^2*COS(C94-$F$6)*COS($F$6-$F$7)/SIN(C94-$F$7)/COS($F$6)^2</f>
        <v>1045.7936557530627</v>
      </c>
      <c r="G94" s="10">
        <f t="shared" si="4"/>
        <v>703.5554073388479</v>
      </c>
      <c r="H94" s="10">
        <f>IF($D$5=0,E94,IF($F$7=0,E94,IF(C94&gt;$F$73,F94,G94)))</f>
        <v>703.5554073388479</v>
      </c>
      <c r="I94" s="10">
        <f>SIN(C94-$F$11+$D$32)/COS(C94-$F$11-$F$12-$F$6)/COS($D$32)*H94</f>
        <v>302.25935922822856</v>
      </c>
      <c r="L94" s="11">
        <f t="shared" si="7"/>
        <v>302.25935922822856</v>
      </c>
      <c r="M94" s="12">
        <f t="shared" si="8"/>
        <v>45</v>
      </c>
      <c r="N94" s="11">
        <f t="shared" si="9"/>
        <v>5.135385868068361</v>
      </c>
      <c r="O94" s="11">
        <f t="shared" si="10"/>
        <v>703.5554073388479</v>
      </c>
    </row>
    <row r="95" spans="2:15" ht="13.5">
      <c r="B95" s="8">
        <f t="shared" si="11"/>
        <v>46</v>
      </c>
      <c r="C95" s="9">
        <f t="shared" si="0"/>
        <v>0.8028514559173915</v>
      </c>
      <c r="D95" s="10">
        <f t="shared" si="1"/>
        <v>4.860896066524954</v>
      </c>
      <c r="E95" s="10">
        <f aca="true" t="shared" si="12" ref="E95:E114">0.5*$D$10*$D$4^2*COS(C95-$F$6)/SIN(C95)/COS($F$6)+$D$8*D95</f>
        <v>340.0991528284923</v>
      </c>
      <c r="F95" s="10">
        <f aca="true" t="shared" si="13" ref="F95:F114">0.5*$D$10*$D$4^2*COS(C95-$F$6)*COS($F$6-$F$7)/SIN(C95-$F$7)/COS($F$6)^2</f>
        <v>975.5961540939468</v>
      </c>
      <c r="G95" s="10">
        <f t="shared" si="4"/>
        <v>682.6941824215488</v>
      </c>
      <c r="H95" s="10">
        <f aca="true" t="shared" si="14" ref="H95:H114">IF($D$5=0,E95,IF($F$7=0,E95,IF(C95&gt;$F$73,F95,G95)))</f>
        <v>682.6941824215488</v>
      </c>
      <c r="I95" s="10">
        <f aca="true" t="shared" si="15" ref="I95:I114">SIN(C95-$F$11+$D$32)/COS(C95-$F$11-$F$12-$F$6)/COS($D$32)*H95</f>
        <v>303.12803133763754</v>
      </c>
      <c r="L95" s="11">
        <f t="shared" si="7"/>
        <v>303.12803133763754</v>
      </c>
      <c r="M95" s="12">
        <f t="shared" si="8"/>
        <v>46</v>
      </c>
      <c r="N95" s="11">
        <f t="shared" si="9"/>
        <v>4.860896066524954</v>
      </c>
      <c r="O95" s="11">
        <f t="shared" si="10"/>
        <v>682.6941824215488</v>
      </c>
    </row>
    <row r="96" spans="2:15" ht="13.5">
      <c r="B96" s="8">
        <f t="shared" si="11"/>
        <v>47</v>
      </c>
      <c r="C96" s="9">
        <f t="shared" si="0"/>
        <v>0.8203047484373349</v>
      </c>
      <c r="D96" s="10">
        <f t="shared" si="1"/>
        <v>4.595506557169654</v>
      </c>
      <c r="E96" s="10">
        <f t="shared" si="12"/>
        <v>332.22040176950685</v>
      </c>
      <c r="F96" s="10">
        <f t="shared" si="13"/>
        <v>913.4545376019373</v>
      </c>
      <c r="G96" s="10">
        <f t="shared" si="4"/>
        <v>662.524579710546</v>
      </c>
      <c r="H96" s="10">
        <f t="shared" si="14"/>
        <v>662.524579710546</v>
      </c>
      <c r="I96" s="10">
        <f t="shared" si="15"/>
        <v>303.59894162064677</v>
      </c>
      <c r="L96" s="11">
        <f t="shared" si="7"/>
        <v>303.59894162064677</v>
      </c>
      <c r="M96" s="12">
        <f t="shared" si="8"/>
        <v>47</v>
      </c>
      <c r="N96" s="11">
        <f t="shared" si="9"/>
        <v>4.595506557169654</v>
      </c>
      <c r="O96" s="11">
        <f t="shared" si="10"/>
        <v>662.524579710546</v>
      </c>
    </row>
    <row r="97" spans="2:15" ht="13.5">
      <c r="B97" s="8">
        <f t="shared" si="11"/>
        <v>48</v>
      </c>
      <c r="C97" s="9">
        <f t="shared" si="0"/>
        <v>0.8377580409572781</v>
      </c>
      <c r="D97" s="10">
        <f t="shared" si="1"/>
        <v>4.338618222451081</v>
      </c>
      <c r="E97" s="10">
        <f t="shared" si="12"/>
        <v>324.5940293325492</v>
      </c>
      <c r="F97" s="10">
        <f t="shared" si="13"/>
        <v>858.0253826756935</v>
      </c>
      <c r="G97" s="10">
        <f t="shared" si="4"/>
        <v>643.0010662719346</v>
      </c>
      <c r="H97" s="10">
        <f t="shared" si="14"/>
        <v>643.0010662719346</v>
      </c>
      <c r="I97" s="10">
        <f t="shared" si="15"/>
        <v>303.6979667597344</v>
      </c>
      <c r="L97" s="11">
        <f t="shared" si="7"/>
        <v>303.6979667597344</v>
      </c>
      <c r="M97" s="12">
        <f t="shared" si="8"/>
        <v>48</v>
      </c>
      <c r="N97" s="11">
        <f t="shared" si="9"/>
        <v>4.338618222451081</v>
      </c>
      <c r="O97" s="11">
        <f t="shared" si="10"/>
        <v>643.0010662719346</v>
      </c>
    </row>
    <row r="98" spans="2:15" ht="13.5">
      <c r="B98" s="8">
        <f t="shared" si="11"/>
        <v>49</v>
      </c>
      <c r="C98" s="9">
        <f t="shared" si="0"/>
        <v>0.8552113334772214</v>
      </c>
      <c r="D98" s="10">
        <f t="shared" si="1"/>
        <v>4.089679770598174</v>
      </c>
      <c r="E98" s="10">
        <f t="shared" si="12"/>
        <v>317.20366904316603</v>
      </c>
      <c r="F98" s="10">
        <f t="shared" si="13"/>
        <v>808.2480432914159</v>
      </c>
      <c r="G98" s="10">
        <f t="shared" si="4"/>
        <v>624.0817439311135</v>
      </c>
      <c r="H98" s="10">
        <f t="shared" si="14"/>
        <v>624.0817439311135</v>
      </c>
      <c r="I98" s="10">
        <f t="shared" si="15"/>
        <v>303.4483482192825</v>
      </c>
      <c r="L98" s="11">
        <f t="shared" si="7"/>
        <v>303.4483482192825</v>
      </c>
      <c r="M98" s="12">
        <f t="shared" si="8"/>
        <v>49</v>
      </c>
      <c r="N98" s="11">
        <f t="shared" si="9"/>
        <v>4.089679770598174</v>
      </c>
      <c r="O98" s="11">
        <f t="shared" si="10"/>
        <v>624.0817439311135</v>
      </c>
    </row>
    <row r="99" spans="2:15" ht="13.5">
      <c r="B99" s="8">
        <f t="shared" si="11"/>
        <v>50</v>
      </c>
      <c r="C99" s="9">
        <f t="shared" si="0"/>
        <v>0.8726646259971648</v>
      </c>
      <c r="D99" s="10">
        <f t="shared" si="1"/>
        <v>3.848182917486601</v>
      </c>
      <c r="E99" s="10">
        <f t="shared" si="12"/>
        <v>310.0342312164161</v>
      </c>
      <c r="F99" s="10">
        <f t="shared" si="13"/>
        <v>763.2739559322848</v>
      </c>
      <c r="G99" s="10">
        <f t="shared" si="4"/>
        <v>605.7279830946339</v>
      </c>
      <c r="H99" s="10">
        <f t="shared" si="14"/>
        <v>605.7279830946339</v>
      </c>
      <c r="I99" s="10">
        <f t="shared" si="15"/>
        <v>302.87096692088903</v>
      </c>
      <c r="L99" s="11">
        <f t="shared" si="7"/>
        <v>302.87096692088903</v>
      </c>
      <c r="M99" s="12">
        <f t="shared" si="8"/>
        <v>50</v>
      </c>
      <c r="N99" s="11">
        <f t="shared" si="9"/>
        <v>3.848182917486601</v>
      </c>
      <c r="O99" s="11">
        <f t="shared" si="10"/>
        <v>605.7279830946339</v>
      </c>
    </row>
    <row r="100" spans="2:15" ht="13.5">
      <c r="B100" s="8">
        <f t="shared" si="11"/>
        <v>51</v>
      </c>
      <c r="C100" s="9">
        <f t="shared" si="0"/>
        <v>0.890117918517108</v>
      </c>
      <c r="D100" s="10">
        <f t="shared" si="1"/>
        <v>3.6136581336284195</v>
      </c>
      <c r="E100" s="10">
        <f t="shared" si="12"/>
        <v>303.0717766956264</v>
      </c>
      <c r="F100" s="10">
        <f t="shared" si="13"/>
        <v>722.4161430656902</v>
      </c>
      <c r="G100" s="10">
        <f t="shared" si="4"/>
        <v>587.9040995214123</v>
      </c>
      <c r="H100" s="10">
        <f t="shared" si="14"/>
        <v>587.9040995214123</v>
      </c>
      <c r="I100" s="10">
        <f t="shared" si="15"/>
        <v>301.9845833959862</v>
      </c>
      <c r="L100" s="11">
        <f t="shared" si="7"/>
        <v>301.9845833959862</v>
      </c>
      <c r="M100" s="12">
        <f t="shared" si="8"/>
        <v>51</v>
      </c>
      <c r="N100" s="11">
        <f t="shared" si="9"/>
        <v>3.6136581336284195</v>
      </c>
      <c r="O100" s="11">
        <f t="shared" si="10"/>
        <v>587.9040995214123</v>
      </c>
    </row>
    <row r="101" spans="2:15" ht="13.5">
      <c r="B101" s="8">
        <f t="shared" si="11"/>
        <v>52</v>
      </c>
      <c r="C101" s="9">
        <f t="shared" si="0"/>
        <v>0.9075712110370514</v>
      </c>
      <c r="D101" s="10">
        <f t="shared" si="1"/>
        <v>3.3856708801220994</v>
      </c>
      <c r="E101" s="10">
        <f t="shared" si="12"/>
        <v>296.3034051071575</v>
      </c>
      <c r="F101" s="10">
        <f t="shared" si="13"/>
        <v>685.1124883564117</v>
      </c>
      <c r="G101" s="10">
        <f t="shared" si="4"/>
        <v>570.5770682549319</v>
      </c>
      <c r="H101" s="10">
        <f t="shared" si="14"/>
        <v>570.5770682549319</v>
      </c>
      <c r="I101" s="10">
        <f t="shared" si="15"/>
        <v>300.8060481677715</v>
      </c>
      <c r="L101" s="11">
        <f t="shared" si="7"/>
        <v>300.8060481677715</v>
      </c>
      <c r="M101" s="12">
        <f t="shared" si="8"/>
        <v>52</v>
      </c>
      <c r="N101" s="11">
        <f t="shared" si="9"/>
        <v>3.3856708801220994</v>
      </c>
      <c r="O101" s="11">
        <f t="shared" si="10"/>
        <v>570.5770682549319</v>
      </c>
    </row>
    <row r="102" spans="2:15" ht="13.5">
      <c r="B102" s="8">
        <f t="shared" si="11"/>
        <v>53</v>
      </c>
      <c r="C102" s="9">
        <f t="shared" si="0"/>
        <v>0.9250245035569946</v>
      </c>
      <c r="D102" s="10">
        <f t="shared" si="1"/>
        <v>3.163818268890715</v>
      </c>
      <c r="E102" s="10">
        <f t="shared" si="12"/>
        <v>289.71715571122576</v>
      </c>
      <c r="F102" s="10">
        <f t="shared" si="13"/>
        <v>650.898592216635</v>
      </c>
      <c r="G102" s="10">
        <f t="shared" si="4"/>
        <v>553.7162698013466</v>
      </c>
      <c r="H102" s="10">
        <f t="shared" si="14"/>
        <v>553.7162698013466</v>
      </c>
      <c r="I102" s="10">
        <f t="shared" si="15"/>
        <v>299.35048637940156</v>
      </c>
      <c r="L102" s="11">
        <f aca="true" t="shared" si="16" ref="L102:L127">I102</f>
        <v>299.35048637940156</v>
      </c>
      <c r="M102" s="12">
        <f aca="true" t="shared" si="17" ref="M102:M127">B102</f>
        <v>53</v>
      </c>
      <c r="N102" s="11">
        <f aca="true" t="shared" si="18" ref="N102:N127">D102</f>
        <v>3.163818268890715</v>
      </c>
      <c r="O102" s="11">
        <f aca="true" t="shared" si="19" ref="O102:O127">H102</f>
        <v>553.7162698013466</v>
      </c>
    </row>
    <row r="103" spans="2:15" ht="13.5">
      <c r="B103" s="8">
        <f t="shared" si="11"/>
        <v>54</v>
      </c>
      <c r="C103" s="9">
        <f t="shared" si="0"/>
        <v>0.9424777960769379</v>
      </c>
      <c r="D103" s="10">
        <f t="shared" si="1"/>
        <v>2.9477260921112487</v>
      </c>
      <c r="E103" s="10">
        <f t="shared" si="12"/>
        <v>283.3019192130854</v>
      </c>
      <c r="F103" s="10">
        <f t="shared" si="13"/>
        <v>619.3874134266306</v>
      </c>
      <c r="G103" s="10">
        <f t="shared" si="4"/>
        <v>537.2932643661071</v>
      </c>
      <c r="H103" s="10">
        <f t="shared" si="14"/>
        <v>537.2932643661071</v>
      </c>
      <c r="I103" s="10">
        <f t="shared" si="15"/>
        <v>297.6314600741994</v>
      </c>
      <c r="L103" s="11">
        <f t="shared" si="16"/>
        <v>297.6314600741994</v>
      </c>
      <c r="M103" s="12">
        <f t="shared" si="17"/>
        <v>54</v>
      </c>
      <c r="N103" s="11">
        <f t="shared" si="18"/>
        <v>2.9477260921112487</v>
      </c>
      <c r="O103" s="11">
        <f t="shared" si="19"/>
        <v>537.2932643661071</v>
      </c>
    </row>
    <row r="104" spans="2:15" ht="13.5">
      <c r="B104" s="8">
        <f t="shared" si="11"/>
        <v>55</v>
      </c>
      <c r="C104" s="9">
        <f t="shared" si="0"/>
        <v>0.9599310885968813</v>
      </c>
      <c r="D104" s="10">
        <f t="shared" si="1"/>
        <v>2.7370461737460388</v>
      </c>
      <c r="E104" s="10">
        <f t="shared" si="12"/>
        <v>277.04735913661824</v>
      </c>
      <c r="F104" s="10">
        <f t="shared" si="13"/>
        <v>590.2537967250408</v>
      </c>
      <c r="G104" s="10">
        <f t="shared" si="4"/>
        <v>521.2815905703512</v>
      </c>
      <c r="H104" s="10">
        <f t="shared" si="14"/>
        <v>521.2815905703512</v>
      </c>
      <c r="I104" s="10">
        <f t="shared" si="15"/>
        <v>295.6611110235374</v>
      </c>
      <c r="L104" s="11">
        <f t="shared" si="16"/>
        <v>295.6611110235374</v>
      </c>
      <c r="M104" s="12">
        <f t="shared" si="17"/>
        <v>55</v>
      </c>
      <c r="N104" s="11">
        <f t="shared" si="18"/>
        <v>2.7370461737460388</v>
      </c>
      <c r="O104" s="11">
        <f t="shared" si="19"/>
        <v>521.2815905703512</v>
      </c>
    </row>
    <row r="105" spans="2:15" ht="13.5">
      <c r="B105" s="8">
        <f t="shared" si="11"/>
        <v>56</v>
      </c>
      <c r="C105" s="9">
        <f t="shared" si="0"/>
        <v>0.9773843811168246</v>
      </c>
      <c r="D105" s="10">
        <f t="shared" si="1"/>
        <v>2.5314540028077746</v>
      </c>
      <c r="E105" s="10">
        <f t="shared" si="12"/>
        <v>270.94384156188846</v>
      </c>
      <c r="F105" s="10">
        <f t="shared" si="13"/>
        <v>563.2225709140886</v>
      </c>
      <c r="G105" s="10">
        <f t="shared" si="4"/>
        <v>505.65658557904294</v>
      </c>
      <c r="H105" s="10">
        <f t="shared" si="14"/>
        <v>505.65658557904294</v>
      </c>
      <c r="I105" s="10">
        <f t="shared" si="15"/>
        <v>293.4502865708148</v>
      </c>
      <c r="L105" s="11">
        <f t="shared" si="16"/>
        <v>293.4502865708148</v>
      </c>
      <c r="M105" s="12">
        <f t="shared" si="17"/>
        <v>56</v>
      </c>
      <c r="N105" s="11">
        <f t="shared" si="18"/>
        <v>2.5314540028077746</v>
      </c>
      <c r="O105" s="11">
        <f t="shared" si="19"/>
        <v>505.65658557904294</v>
      </c>
    </row>
    <row r="106" spans="2:15" ht="13.5">
      <c r="B106" s="8">
        <f t="shared" si="11"/>
        <v>57</v>
      </c>
      <c r="C106" s="9">
        <f t="shared" si="0"/>
        <v>0.9948376736367678</v>
      </c>
      <c r="D106" s="10">
        <f t="shared" si="1"/>
        <v>2.3306466136484456</v>
      </c>
      <c r="E106" s="10">
        <f t="shared" si="12"/>
        <v>264.982372196221</v>
      </c>
      <c r="F106" s="10">
        <f t="shared" si="13"/>
        <v>538.0592917893078</v>
      </c>
      <c r="G106" s="10">
        <f t="shared" si="4"/>
        <v>490.3952240029343</v>
      </c>
      <c r="H106" s="10">
        <f t="shared" si="14"/>
        <v>490.3952240029343</v>
      </c>
      <c r="I106" s="10">
        <f t="shared" si="15"/>
        <v>291.0086506008495</v>
      </c>
      <c r="L106" s="11">
        <f t="shared" si="16"/>
        <v>291.0086506008495</v>
      </c>
      <c r="M106" s="12">
        <f t="shared" si="17"/>
        <v>57</v>
      </c>
      <c r="N106" s="11">
        <f t="shared" si="18"/>
        <v>2.3306466136484456</v>
      </c>
      <c r="O106" s="11">
        <f t="shared" si="19"/>
        <v>490.3952240029343</v>
      </c>
    </row>
    <row r="107" spans="2:15" ht="13.5">
      <c r="B107" s="8">
        <f t="shared" si="11"/>
        <v>58</v>
      </c>
      <c r="C107" s="9">
        <f t="shared" si="0"/>
        <v>1.0122909661567112</v>
      </c>
      <c r="D107" s="10">
        <f t="shared" si="1"/>
        <v>2.1343406833429794</v>
      </c>
      <c r="E107" s="10">
        <f t="shared" si="12"/>
        <v>259.1545398902775</v>
      </c>
      <c r="F107" s="10">
        <f t="shared" si="13"/>
        <v>514.5629686862732</v>
      </c>
      <c r="G107" s="10">
        <f t="shared" si="4"/>
        <v>475.4759732997188</v>
      </c>
      <c r="H107" s="10">
        <f t="shared" si="14"/>
        <v>475.4759732997188</v>
      </c>
      <c r="I107" s="10">
        <f t="shared" si="15"/>
        <v>288.3447814411261</v>
      </c>
      <c r="L107" s="11">
        <f t="shared" si="16"/>
        <v>288.3447814411261</v>
      </c>
      <c r="M107" s="12">
        <f t="shared" si="17"/>
        <v>58</v>
      </c>
      <c r="N107" s="11">
        <f t="shared" si="18"/>
        <v>2.1343406833429794</v>
      </c>
      <c r="O107" s="11">
        <f t="shared" si="19"/>
        <v>475.4759732997188</v>
      </c>
    </row>
    <row r="108" spans="2:15" ht="13.5">
      <c r="B108" s="8">
        <f t="shared" si="11"/>
        <v>59</v>
      </c>
      <c r="C108" s="9">
        <f t="shared" si="0"/>
        <v>1.0297442586766543</v>
      </c>
      <c r="D108" s="10">
        <f t="shared" si="1"/>
        <v>1.9422708202888455</v>
      </c>
      <c r="E108" s="10">
        <f t="shared" si="12"/>
        <v>253.4524658308578</v>
      </c>
      <c r="F108" s="10">
        <f t="shared" si="13"/>
        <v>492.5602958387988</v>
      </c>
      <c r="G108" s="10">
        <f t="shared" si="4"/>
        <v>460.8786637076046</v>
      </c>
      <c r="H108" s="10">
        <f t="shared" si="14"/>
        <v>460.8786637076046</v>
      </c>
      <c r="I108" s="10">
        <f t="shared" si="15"/>
        <v>285.466258245028</v>
      </c>
      <c r="L108" s="11">
        <f t="shared" si="16"/>
        <v>285.466258245028</v>
      </c>
      <c r="M108" s="12">
        <f t="shared" si="17"/>
        <v>59</v>
      </c>
      <c r="N108" s="11">
        <f t="shared" si="18"/>
        <v>1.9422708202888455</v>
      </c>
      <c r="O108" s="11">
        <f t="shared" si="19"/>
        <v>460.8786637076046</v>
      </c>
    </row>
    <row r="109" spans="2:15" ht="13.5">
      <c r="B109" s="8">
        <f t="shared" si="11"/>
        <v>60</v>
      </c>
      <c r="C109" s="9">
        <f t="shared" si="0"/>
        <v>1.0471975511965976</v>
      </c>
      <c r="D109" s="10">
        <f t="shared" si="1"/>
        <v>1.7541880215853682</v>
      </c>
      <c r="E109" s="10">
        <f t="shared" si="12"/>
        <v>247.8687577443483</v>
      </c>
      <c r="F109" s="10">
        <f t="shared" si="13"/>
        <v>471.9010374244577</v>
      </c>
      <c r="G109" s="10">
        <f t="shared" si="4"/>
        <v>446.5843710061402</v>
      </c>
      <c r="H109" s="10">
        <f t="shared" si="14"/>
        <v>446.5843710061402</v>
      </c>
      <c r="I109" s="10">
        <f t="shared" si="15"/>
        <v>282.3797371895115</v>
      </c>
      <c r="L109" s="11">
        <f t="shared" si="16"/>
        <v>282.3797371895115</v>
      </c>
      <c r="M109" s="12">
        <f t="shared" si="17"/>
        <v>60</v>
      </c>
      <c r="N109" s="11">
        <f t="shared" si="18"/>
        <v>1.7541880215853682</v>
      </c>
      <c r="O109" s="11">
        <f t="shared" si="19"/>
        <v>446.5843710061402</v>
      </c>
    </row>
    <row r="110" spans="2:15" ht="13.5">
      <c r="B110" s="8">
        <f t="shared" si="11"/>
        <v>61</v>
      </c>
      <c r="C110" s="9">
        <f t="shared" si="0"/>
        <v>1.064650843716541</v>
      </c>
      <c r="D110" s="10">
        <f t="shared" si="1"/>
        <v>1.5698582796905125</v>
      </c>
      <c r="E110" s="10">
        <f t="shared" si="12"/>
        <v>242.39646853184482</v>
      </c>
      <c r="F110" s="10">
        <f t="shared" si="13"/>
        <v>452.4543057858759</v>
      </c>
      <c r="G110" s="10">
        <f t="shared" si="4"/>
        <v>432.5753106221313</v>
      </c>
      <c r="H110" s="10">
        <f t="shared" si="14"/>
        <v>432.5753106221313</v>
      </c>
      <c r="I110" s="10">
        <f t="shared" si="15"/>
        <v>279.09101863422114</v>
      </c>
      <c r="L110" s="11">
        <f t="shared" si="16"/>
        <v>279.09101863422114</v>
      </c>
      <c r="M110" s="12">
        <f t="shared" si="17"/>
        <v>61</v>
      </c>
      <c r="N110" s="11">
        <f t="shared" si="18"/>
        <v>1.5698582796905125</v>
      </c>
      <c r="O110" s="11">
        <f t="shared" si="19"/>
        <v>432.5753106221313</v>
      </c>
    </row>
    <row r="111" spans="2:15" ht="13.5">
      <c r="B111" s="8">
        <f t="shared" si="11"/>
        <v>62</v>
      </c>
      <c r="C111" s="9">
        <f t="shared" si="0"/>
        <v>1.0821041362364843</v>
      </c>
      <c r="D111" s="10">
        <f t="shared" si="1"/>
        <v>1.38906132136019</v>
      </c>
      <c r="E111" s="10">
        <f t="shared" si="12"/>
        <v>237.0290588314134</v>
      </c>
      <c r="F111" s="10">
        <f t="shared" si="13"/>
        <v>434.1055374440405</v>
      </c>
      <c r="G111" s="10">
        <f t="shared" si="4"/>
        <v>418.83474178902685</v>
      </c>
      <c r="H111" s="10">
        <f t="shared" si="14"/>
        <v>418.83474178902685</v>
      </c>
      <c r="I111" s="10">
        <f t="shared" si="15"/>
        <v>275.60510623044917</v>
      </c>
      <c r="L111" s="11">
        <f t="shared" si="16"/>
        <v>275.60510623044917</v>
      </c>
      <c r="M111" s="12">
        <f t="shared" si="17"/>
        <v>62</v>
      </c>
      <c r="N111" s="11">
        <f t="shared" si="18"/>
        <v>1.38906132136019</v>
      </c>
      <c r="O111" s="11">
        <f t="shared" si="19"/>
        <v>418.83474178902685</v>
      </c>
    </row>
    <row r="112" spans="2:15" ht="13.5">
      <c r="B112" s="8">
        <f t="shared" si="11"/>
        <v>63</v>
      </c>
      <c r="C112" s="9">
        <f t="shared" si="0"/>
        <v>1.0995574287564276</v>
      </c>
      <c r="D112" s="10">
        <f t="shared" si="1"/>
        <v>1.2115894640237928</v>
      </c>
      <c r="E112" s="10">
        <f t="shared" si="12"/>
        <v>231.76036306673902</v>
      </c>
      <c r="F112" s="10">
        <f t="shared" si="13"/>
        <v>416.7540188855355</v>
      </c>
      <c r="G112" s="10">
        <f t="shared" si="4"/>
        <v>405.34688063146046</v>
      </c>
      <c r="H112" s="10">
        <f t="shared" si="14"/>
        <v>405.34688063146046</v>
      </c>
      <c r="I112" s="10">
        <f t="shared" si="15"/>
        <v>271.92625883226293</v>
      </c>
      <c r="L112" s="11">
        <f t="shared" si="16"/>
        <v>271.92625883226293</v>
      </c>
      <c r="M112" s="12">
        <f t="shared" si="17"/>
        <v>63</v>
      </c>
      <c r="N112" s="11">
        <f t="shared" si="18"/>
        <v>1.2115894640237928</v>
      </c>
      <c r="O112" s="11">
        <f t="shared" si="19"/>
        <v>405.34688063146046</v>
      </c>
    </row>
    <row r="113" spans="2:15" ht="13.5">
      <c r="B113" s="8">
        <f t="shared" si="11"/>
        <v>64</v>
      </c>
      <c r="C113" s="9">
        <f t="shared" si="0"/>
        <v>1.117010721276371</v>
      </c>
      <c r="D113" s="10">
        <f t="shared" si="1"/>
        <v>1.0372465765952525</v>
      </c>
      <c r="E113" s="10">
        <f t="shared" si="12"/>
        <v>226.58455859620426</v>
      </c>
      <c r="F113" s="10">
        <f t="shared" si="13"/>
        <v>400.31084893330325</v>
      </c>
      <c r="G113" s="10">
        <f t="shared" si="4"/>
        <v>392.0968211868914</v>
      </c>
      <c r="H113" s="10">
        <f t="shared" si="14"/>
        <v>392.0968211868914</v>
      </c>
      <c r="I113" s="10">
        <f t="shared" si="15"/>
        <v>268.05803594489</v>
      </c>
      <c r="L113" s="11">
        <f t="shared" si="16"/>
        <v>268.05803594489</v>
      </c>
      <c r="M113" s="12">
        <f t="shared" si="17"/>
        <v>64</v>
      </c>
      <c r="N113" s="11">
        <f t="shared" si="18"/>
        <v>1.0372465765952525</v>
      </c>
      <c r="O113" s="11">
        <f t="shared" si="19"/>
        <v>392.0968211868914</v>
      </c>
    </row>
    <row r="114" spans="2:15" ht="13.5">
      <c r="B114" s="8">
        <f t="shared" si="11"/>
        <v>65</v>
      </c>
      <c r="C114" s="9">
        <f t="shared" si="0"/>
        <v>1.1344640137963142</v>
      </c>
      <c r="D114" s="10">
        <f t="shared" si="1"/>
        <v>0.8658471333083497</v>
      </c>
      <c r="E114" s="10">
        <f t="shared" si="12"/>
        <v>221.49613762362435</v>
      </c>
      <c r="F114" s="10">
        <f t="shared" si="13"/>
        <v>384.69725038252386</v>
      </c>
      <c r="G114" s="10">
        <f t="shared" si="4"/>
        <v>379.07046349708685</v>
      </c>
      <c r="H114" s="10">
        <f t="shared" si="14"/>
        <v>379.07046349708685</v>
      </c>
      <c r="I114" s="10">
        <f t="shared" si="15"/>
        <v>264.00333734408053</v>
      </c>
      <c r="L114" s="11">
        <f t="shared" si="16"/>
        <v>264.00333734408053</v>
      </c>
      <c r="M114" s="12">
        <f t="shared" si="17"/>
        <v>65</v>
      </c>
      <c r="N114" s="11">
        <f t="shared" si="18"/>
        <v>0.8658471333083497</v>
      </c>
      <c r="O114" s="11">
        <f t="shared" si="19"/>
        <v>379.07046349708685</v>
      </c>
    </row>
    <row r="115" spans="2:15" ht="13.5">
      <c r="B115" s="8">
        <f t="shared" si="11"/>
        <v>66</v>
      </c>
      <c r="C115" s="9">
        <f t="shared" si="0"/>
        <v>1.1519173063162575</v>
      </c>
      <c r="D115" s="10">
        <f t="shared" si="1"/>
        <v>0.6972153505366494</v>
      </c>
      <c r="E115" s="10">
        <f>0.5*$D$10*$D$4^2*COS(C115-$F$6)/SIN(C115)/COS($F$6)+$D$8*D115</f>
        <v>216.4898815725895</v>
      </c>
      <c r="F115" s="10">
        <f>0.5*$D$10*$D$4^2*COS(C115-$F$6)*COS($F$6-$F$7)/SIN(C115-$F$7)/COS($F$6)^2</f>
        <v>369.8431629871964</v>
      </c>
      <c r="G115" s="10">
        <f t="shared" si="4"/>
        <v>366.25444800643766</v>
      </c>
      <c r="H115" s="10">
        <f>IF($D$5=0,E115,IF($F$7=0,E115,IF(C115&gt;$F$73,F115,G115)))</f>
        <v>366.25444800643766</v>
      </c>
      <c r="I115" s="10">
        <f>SIN(C115-$F$11+$D$32)/COS(C115-$F$11-$F$12-$F$6)/COS($D$32)*H115</f>
        <v>259.7644374121131</v>
      </c>
      <c r="L115" s="11">
        <f t="shared" si="16"/>
        <v>259.7644374121131</v>
      </c>
      <c r="M115" s="12">
        <f t="shared" si="17"/>
        <v>66</v>
      </c>
      <c r="N115" s="11">
        <f t="shared" si="18"/>
        <v>0.6972153505366494</v>
      </c>
      <c r="O115" s="11">
        <f t="shared" si="19"/>
        <v>366.25444800643766</v>
      </c>
    </row>
    <row r="116" spans="2:15" ht="13.5">
      <c r="B116" s="8">
        <f t="shared" si="11"/>
        <v>67</v>
      </c>
      <c r="C116" s="9">
        <f t="shared" si="0"/>
        <v>1.1693705988362006</v>
      </c>
      <c r="D116" s="10">
        <f t="shared" si="1"/>
        <v>0.5311843977452004</v>
      </c>
      <c r="E116" s="10">
        <f aca="true" t="shared" si="20" ref="E116:E129">0.5*$D$10*$D$4^2*COS(C116-$F$6)/SIN(C116)/COS($F$6)+$D$8*D116</f>
        <v>211.56083766159335</v>
      </c>
      <c r="F116" s="10">
        <f aca="true" t="shared" si="21" ref="F116:F129">0.5*$D$10*$D$4^2*COS(C116-$F$6)*COS($F$6-$F$7)/SIN(C116-$F$7)/COS($F$6)^2</f>
        <v>355.68606456709574</v>
      </c>
      <c r="G116" s="10">
        <f t="shared" si="4"/>
        <v>353.63609559428755</v>
      </c>
      <c r="H116" s="10">
        <f aca="true" t="shared" si="22" ref="H116:H129">IF($D$5=0,E116,IF($F$7=0,E116,IF(C116&gt;$F$73,F116,G116)))</f>
        <v>353.63609559428755</v>
      </c>
      <c r="I116" s="10">
        <f aca="true" t="shared" si="23" ref="I116:I129">SIN(C116-$F$11+$D$32)/COS(C116-$F$11-$F$12-$F$6)/COS($D$32)*H116</f>
        <v>255.34301465928075</v>
      </c>
      <c r="L116" s="11">
        <f t="shared" si="16"/>
        <v>255.34301465928075</v>
      </c>
      <c r="M116" s="12">
        <f t="shared" si="17"/>
        <v>67</v>
      </c>
      <c r="N116" s="11">
        <f t="shared" si="18"/>
        <v>0.5311843977452004</v>
      </c>
      <c r="O116" s="11">
        <f t="shared" si="19"/>
        <v>353.63609559428755</v>
      </c>
    </row>
    <row r="117" spans="2:15" ht="13.5">
      <c r="B117" s="8">
        <f t="shared" si="11"/>
        <v>68</v>
      </c>
      <c r="C117" s="9">
        <f t="shared" si="0"/>
        <v>1.1868238913561442</v>
      </c>
      <c r="D117" s="10">
        <f t="shared" si="1"/>
        <v>0.36759567474961496</v>
      </c>
      <c r="E117" s="10">
        <f t="shared" si="20"/>
        <v>206.70429744766187</v>
      </c>
      <c r="F117" s="10">
        <f t="shared" si="21"/>
        <v>342.16997821105576</v>
      </c>
      <c r="G117" s="10">
        <f t="shared" si="4"/>
        <v>341.203352646623</v>
      </c>
      <c r="H117" s="10">
        <f t="shared" si="22"/>
        <v>341.203352646623</v>
      </c>
      <c r="I117" s="10">
        <f t="shared" si="23"/>
        <v>250.74017683229226</v>
      </c>
      <c r="L117" s="11">
        <f t="shared" si="16"/>
        <v>250.74017683229226</v>
      </c>
      <c r="M117" s="12">
        <f t="shared" si="17"/>
        <v>68</v>
      </c>
      <c r="N117" s="11">
        <f t="shared" si="18"/>
        <v>0.36759567474961496</v>
      </c>
      <c r="O117" s="11">
        <f t="shared" si="19"/>
        <v>341.203352646623</v>
      </c>
    </row>
    <row r="118" spans="2:15" ht="13.5">
      <c r="B118" s="8">
        <f t="shared" si="11"/>
        <v>69</v>
      </c>
      <c r="C118" s="9">
        <f t="shared" si="0"/>
        <v>1.2042771838760873</v>
      </c>
      <c r="D118" s="10">
        <f t="shared" si="1"/>
        <v>0.2062981483516877</v>
      </c>
      <c r="E118" s="10">
        <f t="shared" si="20"/>
        <v>201.9157771327234</v>
      </c>
      <c r="F118" s="10">
        <f t="shared" si="21"/>
        <v>329.24463217274365</v>
      </c>
      <c r="G118" s="10">
        <f t="shared" si="4"/>
        <v>328.94474064038053</v>
      </c>
      <c r="H118" s="10">
        <f t="shared" si="22"/>
        <v>328.94474064038053</v>
      </c>
      <c r="I118" s="10">
        <f t="shared" si="23"/>
        <v>245.9564819515735</v>
      </c>
      <c r="L118" s="11">
        <f t="shared" si="16"/>
        <v>245.9564819515735</v>
      </c>
      <c r="M118" s="12">
        <f t="shared" si="17"/>
        <v>69</v>
      </c>
      <c r="N118" s="11">
        <f t="shared" si="18"/>
        <v>0.2062981483516877</v>
      </c>
      <c r="O118" s="11">
        <f t="shared" si="19"/>
        <v>328.94474064038053</v>
      </c>
    </row>
    <row r="119" spans="2:15" ht="13.5">
      <c r="B119" s="8">
        <f t="shared" si="11"/>
        <v>70</v>
      </c>
      <c r="C119" s="9">
        <f t="shared" si="0"/>
        <v>1.2217304763960306</v>
      </c>
      <c r="D119" s="10">
        <f t="shared" si="1"/>
        <v>0.047147742197980236</v>
      </c>
      <c r="E119" s="10">
        <f t="shared" si="20"/>
        <v>197.19099945003526</v>
      </c>
      <c r="F119" s="10">
        <f t="shared" si="21"/>
        <v>316.8647457357252</v>
      </c>
      <c r="G119" s="10">
        <f t="shared" si="4"/>
        <v>316.8493097726988</v>
      </c>
      <c r="H119" s="10">
        <f t="shared" si="22"/>
        <v>316.8493097726988</v>
      </c>
      <c r="I119" s="10">
        <f t="shared" si="23"/>
        <v>240.99195556663352</v>
      </c>
      <c r="L119" s="11">
        <f t="shared" si="16"/>
        <v>240.99195556663352</v>
      </c>
      <c r="M119" s="12">
        <f t="shared" si="17"/>
        <v>70</v>
      </c>
      <c r="N119" s="11">
        <f t="shared" si="18"/>
        <v>0.047147742197980236</v>
      </c>
      <c r="O119" s="11">
        <f t="shared" si="19"/>
        <v>316.8493097726988</v>
      </c>
    </row>
    <row r="120" spans="2:15" ht="13.5">
      <c r="B120" s="8">
        <f t="shared" si="11"/>
        <v>71</v>
      </c>
      <c r="C120" s="9">
        <f t="shared" si="0"/>
        <v>1.239183768915974</v>
      </c>
      <c r="D120" s="10">
        <f t="shared" si="1"/>
        <v>0</v>
      </c>
      <c r="E120" s="10">
        <f t="shared" si="20"/>
        <v>192.52587696810767</v>
      </c>
      <c r="F120" s="10">
        <f t="shared" si="21"/>
        <v>304.9894195388047</v>
      </c>
      <c r="G120" s="10">
        <f t="shared" si="4"/>
        <v>304.9065962189642</v>
      </c>
      <c r="H120" s="10">
        <f t="shared" si="22"/>
        <v>304.9894195388047</v>
      </c>
      <c r="I120" s="10">
        <f t="shared" si="23"/>
        <v>235.91016854083944</v>
      </c>
      <c r="L120" s="11">
        <f t="shared" si="16"/>
        <v>235.91016854083944</v>
      </c>
      <c r="M120" s="12">
        <f t="shared" si="17"/>
        <v>71</v>
      </c>
      <c r="N120" s="11">
        <f t="shared" si="18"/>
        <v>0</v>
      </c>
      <c r="O120" s="11">
        <f t="shared" si="19"/>
        <v>304.9894195388047</v>
      </c>
    </row>
    <row r="121" spans="2:15" ht="13.5">
      <c r="B121" s="8">
        <f t="shared" si="11"/>
        <v>72</v>
      </c>
      <c r="C121" s="9">
        <f t="shared" si="0"/>
        <v>1.2566370614359172</v>
      </c>
      <c r="D121" s="10">
        <f t="shared" si="1"/>
        <v>0</v>
      </c>
      <c r="E121" s="10">
        <f t="shared" si="20"/>
        <v>187.9164966671274</v>
      </c>
      <c r="F121" s="10">
        <f t="shared" si="21"/>
        <v>293.58161294943983</v>
      </c>
      <c r="G121" s="10">
        <f t="shared" si="4"/>
        <v>293.1065826484548</v>
      </c>
      <c r="H121" s="10">
        <f t="shared" si="22"/>
        <v>293.58161294943983</v>
      </c>
      <c r="I121" s="10">
        <f t="shared" si="23"/>
        <v>230.89152155545156</v>
      </c>
      <c r="L121" s="11">
        <f t="shared" si="16"/>
        <v>230.89152155545156</v>
      </c>
      <c r="M121" s="12">
        <f t="shared" si="17"/>
        <v>72</v>
      </c>
      <c r="N121" s="11">
        <f t="shared" si="18"/>
        <v>0</v>
      </c>
      <c r="O121" s="11">
        <f t="shared" si="19"/>
        <v>293.58161294943983</v>
      </c>
    </row>
    <row r="122" spans="2:15" ht="13.5">
      <c r="B122" s="8">
        <f t="shared" si="11"/>
        <v>73</v>
      </c>
      <c r="C122" s="9">
        <f t="shared" si="0"/>
        <v>1.2740903539558606</v>
      </c>
      <c r="D122" s="10">
        <f t="shared" si="1"/>
        <v>0</v>
      </c>
      <c r="E122" s="10">
        <f t="shared" si="20"/>
        <v>183.35910565824403</v>
      </c>
      <c r="F122" s="10">
        <f t="shared" si="21"/>
        <v>282.6076943123856</v>
      </c>
      <c r="G122" s="10">
        <f t="shared" si="4"/>
        <v>281.43966166571323</v>
      </c>
      <c r="H122" s="10">
        <f t="shared" si="22"/>
        <v>282.6076943123856</v>
      </c>
      <c r="I122" s="10">
        <f t="shared" si="23"/>
        <v>225.9397415970743</v>
      </c>
      <c r="L122" s="11">
        <f t="shared" si="16"/>
        <v>225.9397415970743</v>
      </c>
      <c r="M122" s="12">
        <f t="shared" si="17"/>
        <v>73</v>
      </c>
      <c r="N122" s="11">
        <f t="shared" si="18"/>
        <v>0</v>
      </c>
      <c r="O122" s="11">
        <f t="shared" si="19"/>
        <v>282.6076943123856</v>
      </c>
    </row>
    <row r="123" spans="2:15" ht="13.5">
      <c r="B123" s="8">
        <f>MIN(B122+1,89)</f>
        <v>74</v>
      </c>
      <c r="C123" s="9">
        <f t="shared" si="0"/>
        <v>1.2915436464758039</v>
      </c>
      <c r="D123" s="10">
        <f t="shared" si="1"/>
        <v>0</v>
      </c>
      <c r="E123" s="10">
        <f t="shared" si="20"/>
        <v>178.85009792952906</v>
      </c>
      <c r="F123" s="10">
        <f t="shared" si="21"/>
        <v>272.0370524774746</v>
      </c>
      <c r="G123" s="10">
        <f>IF($D$7=0,0,$D$10/2*(COS(C123-$F$6)/SIN(C123)*($D$4+$D$5)^2-COS($F$6-$F$7)/SIN($F$7)*$D$5^2)/COS($F$6)+$D$8*D123)</f>
        <v>269.8966018802029</v>
      </c>
      <c r="H123" s="10">
        <f t="shared" si="22"/>
        <v>272.0370524774746</v>
      </c>
      <c r="I123" s="10">
        <f t="shared" si="23"/>
        <v>221.04733695549842</v>
      </c>
      <c r="L123" s="11">
        <f t="shared" si="16"/>
        <v>221.04733695549842</v>
      </c>
      <c r="M123" s="12">
        <f t="shared" si="17"/>
        <v>74</v>
      </c>
      <c r="N123" s="11">
        <f t="shared" si="18"/>
        <v>0</v>
      </c>
      <c r="O123" s="11">
        <f t="shared" si="19"/>
        <v>272.0370524774746</v>
      </c>
    </row>
    <row r="124" spans="2:15" ht="13.5">
      <c r="B124" s="8">
        <f t="shared" si="11"/>
        <v>75</v>
      </c>
      <c r="C124" s="9">
        <f t="shared" si="0"/>
        <v>1.3089969389957472</v>
      </c>
      <c r="D124" s="10">
        <f t="shared" si="1"/>
        <v>0</v>
      </c>
      <c r="E124" s="10">
        <f t="shared" si="20"/>
        <v>174.38600201420377</v>
      </c>
      <c r="F124" s="10">
        <f t="shared" si="21"/>
        <v>261.8417600718211</v>
      </c>
      <c r="G124" s="10">
        <f t="shared" si="4"/>
        <v>258.4685163369703</v>
      </c>
      <c r="H124" s="10">
        <f t="shared" si="22"/>
        <v>261.8417600718211</v>
      </c>
      <c r="I124" s="10">
        <f t="shared" si="23"/>
        <v>216.2072710283152</v>
      </c>
      <c r="L124" s="11">
        <f t="shared" si="16"/>
        <v>216.2072710283152</v>
      </c>
      <c r="M124" s="12">
        <f t="shared" si="17"/>
        <v>75</v>
      </c>
      <c r="N124" s="11">
        <f t="shared" si="18"/>
        <v>0</v>
      </c>
      <c r="O124" s="11">
        <f t="shared" si="19"/>
        <v>261.8417600718211</v>
      </c>
    </row>
    <row r="125" spans="2:15" ht="13.5">
      <c r="B125" s="8">
        <f t="shared" si="11"/>
        <v>76</v>
      </c>
      <c r="C125" s="9">
        <f t="shared" si="0"/>
        <v>1.3264502315156903</v>
      </c>
      <c r="D125" s="10">
        <f t="shared" si="1"/>
        <v>0</v>
      </c>
      <c r="E125" s="10">
        <f t="shared" si="20"/>
        <v>169.96346948706758</v>
      </c>
      <c r="F125" s="10">
        <f t="shared" si="21"/>
        <v>251.99628063980586</v>
      </c>
      <c r="G125" s="10">
        <f t="shared" si="4"/>
        <v>247.1468330675016</v>
      </c>
      <c r="H125" s="10">
        <f t="shared" si="22"/>
        <v>251.99628063980586</v>
      </c>
      <c r="I125" s="10">
        <f t="shared" si="23"/>
        <v>211.41290354581088</v>
      </c>
      <c r="L125" s="11">
        <f t="shared" si="16"/>
        <v>211.41290354581088</v>
      </c>
      <c r="M125" s="12">
        <f t="shared" si="17"/>
        <v>76</v>
      </c>
      <c r="N125" s="11">
        <f t="shared" si="18"/>
        <v>0</v>
      </c>
      <c r="O125" s="11">
        <f t="shared" si="19"/>
        <v>251.99628063980586</v>
      </c>
    </row>
    <row r="126" spans="2:15" ht="13.5">
      <c r="B126" s="8">
        <f t="shared" si="11"/>
        <v>77</v>
      </c>
      <c r="C126" s="9">
        <f t="shared" si="0"/>
        <v>1.3439035240356338</v>
      </c>
      <c r="D126" s="10">
        <f t="shared" si="1"/>
        <v>0</v>
      </c>
      <c r="E126" s="10">
        <f t="shared" si="20"/>
        <v>165.57926420413338</v>
      </c>
      <c r="F126" s="10">
        <f t="shared" si="21"/>
        <v>242.47721311475226</v>
      </c>
      <c r="G126" s="10">
        <f t="shared" si="4"/>
        <v>235.92326754319</v>
      </c>
      <c r="H126" s="10">
        <f t="shared" si="22"/>
        <v>242.47721311475226</v>
      </c>
      <c r="I126" s="10">
        <f t="shared" si="23"/>
        <v>206.65793840586605</v>
      </c>
      <c r="L126" s="11">
        <f t="shared" si="16"/>
        <v>206.65793840586605</v>
      </c>
      <c r="M126" s="12">
        <f t="shared" si="17"/>
        <v>77</v>
      </c>
      <c r="N126" s="11">
        <f t="shared" si="18"/>
        <v>0</v>
      </c>
      <c r="O126" s="11">
        <f t="shared" si="19"/>
        <v>242.47721311475226</v>
      </c>
    </row>
    <row r="127" spans="2:15" ht="13.5">
      <c r="B127" s="8">
        <f t="shared" si="11"/>
        <v>78</v>
      </c>
      <c r="C127" s="9">
        <f t="shared" si="0"/>
        <v>1.361356816555577</v>
      </c>
      <c r="D127" s="10">
        <f t="shared" si="1"/>
        <v>0</v>
      </c>
      <c r="E127" s="10">
        <f t="shared" si="20"/>
        <v>161.23025220844247</v>
      </c>
      <c r="F127" s="10">
        <f t="shared" si="21"/>
        <v>233.26306817539506</v>
      </c>
      <c r="G127" s="10">
        <f t="shared" si="4"/>
        <v>224.78979683422125</v>
      </c>
      <c r="H127" s="10">
        <f t="shared" si="22"/>
        <v>233.26306817539506</v>
      </c>
      <c r="I127" s="10">
        <f t="shared" si="23"/>
        <v>201.9363770892261</v>
      </c>
      <c r="L127" s="11">
        <f t="shared" si="16"/>
        <v>201.9363770892261</v>
      </c>
      <c r="M127" s="12">
        <f t="shared" si="17"/>
        <v>78</v>
      </c>
      <c r="N127" s="11">
        <f t="shared" si="18"/>
        <v>0</v>
      </c>
      <c r="O127" s="11">
        <f t="shared" si="19"/>
        <v>233.26306817539506</v>
      </c>
    </row>
    <row r="128" spans="2:15" ht="13.5">
      <c r="B128" s="8">
        <f t="shared" si="11"/>
        <v>79</v>
      </c>
      <c r="C128" s="9">
        <f t="shared" si="0"/>
        <v>1.3788101090755203</v>
      </c>
      <c r="D128" s="10">
        <f t="shared" si="1"/>
        <v>0</v>
      </c>
      <c r="E128" s="10">
        <f t="shared" si="20"/>
        <v>156.9133922320203</v>
      </c>
      <c r="F128" s="10">
        <f t="shared" si="21"/>
        <v>224.3340719293616</v>
      </c>
      <c r="G128" s="10">
        <f t="shared" si="4"/>
        <v>213.73863529458058</v>
      </c>
      <c r="H128" s="10">
        <f t="shared" si="22"/>
        <v>224.3340719293616</v>
      </c>
      <c r="I128" s="10">
        <f t="shared" si="23"/>
        <v>197.2424767858402</v>
      </c>
      <c r="L128" s="11">
        <f>I128</f>
        <v>197.2424767858402</v>
      </c>
      <c r="M128" s="12">
        <f>B128</f>
        <v>79</v>
      </c>
      <c r="N128" s="11">
        <f>D128</f>
        <v>0</v>
      </c>
      <c r="O128" s="11">
        <f>H128</f>
        <v>224.3340719293616</v>
      </c>
    </row>
    <row r="129" spans="2:15" ht="13.5">
      <c r="B129" s="13">
        <f t="shared" si="11"/>
        <v>80</v>
      </c>
      <c r="C129" s="14">
        <f t="shared" si="0"/>
        <v>1.3962634015954636</v>
      </c>
      <c r="D129" s="15">
        <f t="shared" si="1"/>
        <v>0</v>
      </c>
      <c r="E129" s="15">
        <f t="shared" si="20"/>
        <v>152.62572673007264</v>
      </c>
      <c r="F129" s="15">
        <f t="shared" si="21"/>
        <v>215.67199309496672</v>
      </c>
      <c r="G129" s="15">
        <f t="shared" si="4"/>
        <v>202.7622116095945</v>
      </c>
      <c r="H129" s="15">
        <f t="shared" si="22"/>
        <v>215.67199309496672</v>
      </c>
      <c r="I129" s="15">
        <f t="shared" si="23"/>
        <v>192.57071249361604</v>
      </c>
      <c r="L129" s="16">
        <f>I129</f>
        <v>192.57071249361604</v>
      </c>
      <c r="M129" s="17">
        <f>B129</f>
        <v>80</v>
      </c>
      <c r="N129" s="16">
        <f>D129</f>
        <v>0</v>
      </c>
      <c r="O129" s="16">
        <f>H129</f>
        <v>215.67199309496672</v>
      </c>
    </row>
    <row r="130" spans="12:15" ht="13.5">
      <c r="L130" s="18">
        <f>MAX(L79:L129)</f>
        <v>303.6979667597344</v>
      </c>
      <c r="M130" s="5">
        <f>VLOOKUP($L$130,$L$79:$O$129,2,FALSE)</f>
        <v>48</v>
      </c>
      <c r="N130" s="5">
        <f>VLOOKUP($L$130,$L$79:$O$129,3,FALSE)</f>
        <v>4.338618222451081</v>
      </c>
      <c r="O130" s="5">
        <f>VLOOKUP($L$130,$L$79:$O$129,4,FALSE)</f>
        <v>643.0010662719346</v>
      </c>
    </row>
    <row r="152" spans="3:12" ht="13.5">
      <c r="C152" s="2" t="s">
        <v>58</v>
      </c>
      <c r="E152" s="2" t="s">
        <v>39</v>
      </c>
      <c r="F152" s="2">
        <f>M130</f>
        <v>48</v>
      </c>
      <c r="G152" s="2" t="s">
        <v>13</v>
      </c>
      <c r="H152" s="19">
        <f>F152*PI()/180</f>
        <v>0.8377580409572781</v>
      </c>
      <c r="I152" s="2" t="s">
        <v>15</v>
      </c>
      <c r="L152" s="2" t="s">
        <v>71</v>
      </c>
    </row>
    <row r="153" spans="3:16" ht="13.5">
      <c r="C153" s="2" t="s">
        <v>59</v>
      </c>
      <c r="E153" s="2" t="s">
        <v>60</v>
      </c>
      <c r="F153" s="20">
        <f>O130</f>
        <v>643.0010662719346</v>
      </c>
      <c r="G153" s="2" t="s">
        <v>61</v>
      </c>
      <c r="L153" s="6" t="s">
        <v>66</v>
      </c>
      <c r="M153" s="6" t="s">
        <v>67</v>
      </c>
      <c r="N153" s="6" t="s">
        <v>68</v>
      </c>
      <c r="O153" s="6" t="s">
        <v>69</v>
      </c>
      <c r="P153" s="6" t="s">
        <v>70</v>
      </c>
    </row>
    <row r="154" spans="3:16" ht="13.5">
      <c r="C154" s="2" t="s">
        <v>62</v>
      </c>
      <c r="E154" s="2" t="s">
        <v>63</v>
      </c>
      <c r="F154" s="20">
        <f>L130</f>
        <v>303.6979667597344</v>
      </c>
      <c r="G154" s="2" t="s">
        <v>61</v>
      </c>
      <c r="L154" s="12">
        <v>0</v>
      </c>
      <c r="M154" s="12">
        <v>0</v>
      </c>
      <c r="N154" s="12"/>
      <c r="O154" s="12"/>
      <c r="P154" s="12"/>
    </row>
    <row r="155" spans="3:16" ht="13.5">
      <c r="C155" s="2" t="s">
        <v>64</v>
      </c>
      <c r="L155" s="12">
        <f>0</f>
        <v>0</v>
      </c>
      <c r="M155" s="12">
        <f>D4</f>
        <v>5</v>
      </c>
      <c r="N155" s="12"/>
      <c r="O155" s="12"/>
      <c r="P155" s="12"/>
    </row>
    <row r="156" spans="12:16" ht="14.25">
      <c r="L156" s="12">
        <f>L155+0.5</f>
        <v>0.5</v>
      </c>
      <c r="M156" s="12">
        <f>M155</f>
        <v>5</v>
      </c>
      <c r="N156" s="12"/>
      <c r="O156" s="12"/>
      <c r="P156" s="12"/>
    </row>
    <row r="157" spans="6:16" ht="14.25">
      <c r="F157" s="19">
        <f>2*F154/D10/D4^2</f>
        <v>1.2787282810936187</v>
      </c>
      <c r="G157" s="2" t="s">
        <v>65</v>
      </c>
      <c r="L157" s="12">
        <f>L156+D4*TAN(F6)</f>
        <v>2.831538290774993</v>
      </c>
      <c r="M157" s="12">
        <f>0</f>
        <v>0</v>
      </c>
      <c r="N157" s="12"/>
      <c r="O157" s="12"/>
      <c r="P157" s="12"/>
    </row>
    <row r="158" spans="12:16" ht="14.25">
      <c r="L158" s="12">
        <v>0</v>
      </c>
      <c r="M158" s="12">
        <v>0</v>
      </c>
      <c r="N158" s="12"/>
      <c r="O158" s="12"/>
      <c r="P158" s="12"/>
    </row>
    <row r="159" spans="12:16" ht="13.5">
      <c r="L159" s="12">
        <f>L156</f>
        <v>0.5</v>
      </c>
      <c r="M159" s="12"/>
      <c r="N159" s="12">
        <f>M155</f>
        <v>5</v>
      </c>
      <c r="O159" s="12"/>
      <c r="P159" s="12"/>
    </row>
    <row r="160" spans="12:16" ht="13.5">
      <c r="L160" s="12">
        <f>IF(D7=0,L159,L159+D5/TAN(F7))</f>
        <v>5.696152422706632</v>
      </c>
      <c r="M160" s="12"/>
      <c r="N160" s="12">
        <f>D4+D5</f>
        <v>8</v>
      </c>
      <c r="O160" s="12"/>
      <c r="P160" s="12"/>
    </row>
    <row r="161" spans="12:16" ht="13.5">
      <c r="L161" s="12">
        <f>MAX(L166+D4/2.5,L160+D4/2.5)</f>
        <v>12.034770645157714</v>
      </c>
      <c r="M161" s="12"/>
      <c r="N161" s="12">
        <f>N160</f>
        <v>8</v>
      </c>
      <c r="O161" s="12"/>
      <c r="P161" s="12"/>
    </row>
    <row r="162" spans="12:16" ht="13.5">
      <c r="L162" s="12">
        <f>L160</f>
        <v>5.696152422706632</v>
      </c>
      <c r="M162" s="12"/>
      <c r="N162" s="12"/>
      <c r="O162" s="12">
        <f>N160</f>
        <v>8</v>
      </c>
      <c r="P162" s="12"/>
    </row>
    <row r="163" spans="12:16" ht="13.5">
      <c r="L163" s="12">
        <f>L162</f>
        <v>5.696152422706632</v>
      </c>
      <c r="M163" s="12"/>
      <c r="N163" s="12"/>
      <c r="O163" s="12">
        <f>O162+D8/D10</f>
        <v>8</v>
      </c>
      <c r="P163" s="12"/>
    </row>
    <row r="164" spans="12:16" ht="13.5">
      <c r="L164" s="12">
        <f>L161</f>
        <v>12.034770645157714</v>
      </c>
      <c r="M164" s="12"/>
      <c r="N164" s="12"/>
      <c r="O164" s="12">
        <f>O163</f>
        <v>8</v>
      </c>
      <c r="P164" s="12"/>
    </row>
    <row r="165" spans="12:16" ht="13.5">
      <c r="L165" s="12">
        <f>L157</f>
        <v>2.831538290774993</v>
      </c>
      <c r="M165" s="12"/>
      <c r="N165" s="12"/>
      <c r="O165" s="12"/>
      <c r="P165" s="12">
        <v>0</v>
      </c>
    </row>
    <row r="166" spans="12:16" ht="13.5">
      <c r="L166" s="17">
        <f>L157+P166/TAN(H152)</f>
        <v>10.034770645157714</v>
      </c>
      <c r="M166" s="17"/>
      <c r="N166" s="17"/>
      <c r="O166" s="17"/>
      <c r="P166" s="17">
        <f>IF(D5=0,D4,IF(D7=0,D4,IF(F152&lt;H73,D4+D5,SIN(PI()/2+F7-F6)/SIN(H152-F7)/COS(F6)*D4*SIN(H152))))</f>
        <v>8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rowBreaks count="3" manualBreakCount="3">
    <brk id="40" max="8" man="1"/>
    <brk id="75" max="8" man="1"/>
    <brk id="130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4"/>
  <sheetViews>
    <sheetView workbookViewId="0" topLeftCell="A1">
      <selection activeCell="D8" sqref="D8"/>
    </sheetView>
  </sheetViews>
  <sheetFormatPr defaultColWidth="8.796875" defaultRowHeight="14.25"/>
  <cols>
    <col min="1" max="16384" width="9" style="2" customWidth="1"/>
  </cols>
  <sheetData>
    <row r="2" ht="17.25">
      <c r="B2" s="1" t="s">
        <v>101</v>
      </c>
    </row>
    <row r="3" ht="13.5">
      <c r="C3" s="21"/>
    </row>
    <row r="4" spans="2:5" ht="13.5">
      <c r="B4" s="4" t="s">
        <v>73</v>
      </c>
      <c r="C4" s="21" t="s">
        <v>74</v>
      </c>
      <c r="D4" s="37">
        <v>5</v>
      </c>
      <c r="E4" s="2" t="s">
        <v>75</v>
      </c>
    </row>
    <row r="5" spans="2:5" ht="13.5">
      <c r="B5" s="4" t="s">
        <v>76</v>
      </c>
      <c r="C5" s="21" t="s">
        <v>77</v>
      </c>
      <c r="D5" s="37">
        <v>3</v>
      </c>
      <c r="E5" s="2" t="s">
        <v>75</v>
      </c>
    </row>
    <row r="6" spans="2:7" ht="13.5">
      <c r="B6" s="4" t="s">
        <v>78</v>
      </c>
      <c r="C6" s="21" t="s">
        <v>79</v>
      </c>
      <c r="D6" s="37">
        <v>25</v>
      </c>
      <c r="E6" s="2" t="s">
        <v>80</v>
      </c>
      <c r="F6" s="2">
        <f>D6*PI()/180</f>
        <v>0.4363323129985824</v>
      </c>
      <c r="G6" s="2" t="s">
        <v>81</v>
      </c>
    </row>
    <row r="7" spans="2:7" ht="13.5">
      <c r="B7" s="4" t="s">
        <v>82</v>
      </c>
      <c r="C7" s="21" t="s">
        <v>83</v>
      </c>
      <c r="D7" s="37">
        <v>30</v>
      </c>
      <c r="E7" s="2" t="s">
        <v>80</v>
      </c>
      <c r="F7" s="2">
        <f>D7*PI()/180</f>
        <v>0.5235987755982988</v>
      </c>
      <c r="G7" s="2" t="s">
        <v>81</v>
      </c>
    </row>
    <row r="8" spans="2:5" ht="13.5">
      <c r="B8" s="4" t="s">
        <v>84</v>
      </c>
      <c r="C8" s="21" t="s">
        <v>85</v>
      </c>
      <c r="D8" s="37">
        <v>19</v>
      </c>
      <c r="E8" s="2" t="s">
        <v>86</v>
      </c>
    </row>
    <row r="9" spans="2:7" ht="13.5">
      <c r="B9" s="4" t="s">
        <v>87</v>
      </c>
      <c r="C9" s="21" t="s">
        <v>88</v>
      </c>
      <c r="D9" s="37">
        <v>30</v>
      </c>
      <c r="E9" s="2" t="s">
        <v>80</v>
      </c>
      <c r="F9" s="2">
        <f>D9*PI()/180</f>
        <v>0.5235987755982988</v>
      </c>
      <c r="G9" s="2" t="s">
        <v>81</v>
      </c>
    </row>
    <row r="10" spans="2:7" ht="13.5">
      <c r="B10" s="4" t="s">
        <v>89</v>
      </c>
      <c r="C10" s="21" t="s">
        <v>90</v>
      </c>
      <c r="D10" s="37">
        <v>10</v>
      </c>
      <c r="E10" s="2" t="s">
        <v>80</v>
      </c>
      <c r="F10" s="2">
        <f>D10*PI()/180</f>
        <v>0.17453292519943295</v>
      </c>
      <c r="G10" s="2" t="s">
        <v>81</v>
      </c>
    </row>
    <row r="11" spans="2:5" ht="13.5">
      <c r="B11" s="4" t="s">
        <v>91</v>
      </c>
      <c r="C11" s="21" t="s">
        <v>92</v>
      </c>
      <c r="D11" s="37">
        <v>0</v>
      </c>
      <c r="E11" s="2" t="s">
        <v>93</v>
      </c>
    </row>
    <row r="12" spans="2:4" ht="13.5">
      <c r="B12" s="4" t="s">
        <v>106</v>
      </c>
      <c r="C12" s="21" t="s">
        <v>107</v>
      </c>
      <c r="D12" s="37">
        <v>0.15</v>
      </c>
    </row>
    <row r="13" ht="13.5">
      <c r="C13" s="21"/>
    </row>
    <row r="14" spans="2:5" ht="13.5">
      <c r="B14" s="21" t="s">
        <v>102</v>
      </c>
      <c r="C14" s="21" t="s">
        <v>94</v>
      </c>
      <c r="D14" s="4">
        <f>D4+D5</f>
        <v>8</v>
      </c>
      <c r="E14" s="2" t="s">
        <v>75</v>
      </c>
    </row>
    <row r="15" ht="13.5">
      <c r="C15" s="21"/>
    </row>
    <row r="16" spans="3:7" ht="13.5">
      <c r="C16" s="21" t="s">
        <v>17</v>
      </c>
      <c r="D16" s="2">
        <f>D9+D6+D10</f>
        <v>65</v>
      </c>
      <c r="E16" s="2" t="s">
        <v>80</v>
      </c>
      <c r="F16" s="2">
        <f>D16*PI()/180</f>
        <v>1.1344640137963142</v>
      </c>
      <c r="G16" s="2" t="s">
        <v>81</v>
      </c>
    </row>
    <row r="17" spans="3:24" ht="13.5">
      <c r="C17" s="21"/>
      <c r="T17" s="21" t="s">
        <v>66</v>
      </c>
      <c r="U17" s="21" t="s">
        <v>109</v>
      </c>
      <c r="V17" s="21" t="s">
        <v>110</v>
      </c>
      <c r="W17" s="2" t="s">
        <v>111</v>
      </c>
      <c r="X17" s="2" t="s">
        <v>112</v>
      </c>
    </row>
    <row r="18" spans="3:22" ht="13.5">
      <c r="C18" s="21" t="s">
        <v>17</v>
      </c>
      <c r="D18" s="2">
        <f>D8/2*D14^2+D11*D14</f>
        <v>608</v>
      </c>
      <c r="E18" s="2" t="s">
        <v>95</v>
      </c>
      <c r="T18" s="21">
        <v>0</v>
      </c>
      <c r="U18" s="21">
        <v>0</v>
      </c>
      <c r="V18" s="21"/>
    </row>
    <row r="19" spans="3:22" ht="13.5">
      <c r="C19" s="21"/>
      <c r="T19" s="21">
        <f>U19*0.2</f>
        <v>1</v>
      </c>
      <c r="U19" s="21">
        <f>D4</f>
        <v>5</v>
      </c>
      <c r="V19" s="21"/>
    </row>
    <row r="20" spans="3:22" ht="13.5">
      <c r="C20" s="21"/>
      <c r="T20" s="21">
        <f>T19+0.5</f>
        <v>1.5</v>
      </c>
      <c r="U20" s="21">
        <f>U19</f>
        <v>5</v>
      </c>
      <c r="V20" s="21"/>
    </row>
    <row r="21" spans="3:22" ht="13.5">
      <c r="C21" s="21"/>
      <c r="D21" s="4" t="s">
        <v>17</v>
      </c>
      <c r="E21" s="2">
        <f>D8/2*D5*(D5+2*D11/D8)*(TAN(F6)+U33)</f>
        <v>187.95964881939142</v>
      </c>
      <c r="F21" s="2" t="s">
        <v>95</v>
      </c>
      <c r="T21" s="21">
        <f>TAN(F6)*D4+T20</f>
        <v>3.831538290774993</v>
      </c>
      <c r="U21" s="21">
        <v>0</v>
      </c>
      <c r="V21" s="21"/>
    </row>
    <row r="22" spans="3:22" ht="13.5">
      <c r="C22" s="21"/>
      <c r="T22" s="21">
        <v>0</v>
      </c>
      <c r="U22" s="21">
        <v>0</v>
      </c>
      <c r="V22" s="21"/>
    </row>
    <row r="23" spans="3:22" ht="13.5">
      <c r="C23" s="21"/>
      <c r="T23" s="21">
        <f>T20</f>
        <v>1.5</v>
      </c>
      <c r="U23" s="21"/>
      <c r="V23" s="21">
        <f>U20</f>
        <v>5</v>
      </c>
    </row>
    <row r="24" spans="3:22" ht="13.5">
      <c r="C24" s="21"/>
      <c r="D24" s="4" t="s">
        <v>17</v>
      </c>
      <c r="E24" s="2">
        <f>TAN(F6)-E21/D18</f>
        <v>0.15716349891257847</v>
      </c>
      <c r="T24" s="21">
        <f>IF(F7=0,T20,T23+D5/TAN(F7))</f>
        <v>6.696152422706632</v>
      </c>
      <c r="U24" s="21"/>
      <c r="V24" s="21">
        <f>D5+V23</f>
        <v>8</v>
      </c>
    </row>
    <row r="25" spans="3:22" ht="13.5">
      <c r="C25" s="21"/>
      <c r="T25" s="21">
        <f>MAX(T27+D4,T24)</f>
        <v>16.09186068495874</v>
      </c>
      <c r="U25" s="21"/>
      <c r="V25" s="21">
        <f>V24</f>
        <v>8</v>
      </c>
    </row>
    <row r="26" spans="3:23" ht="13.5">
      <c r="C26" s="21"/>
      <c r="T26" s="21">
        <f>T21</f>
        <v>3.831538290774993</v>
      </c>
      <c r="U26" s="21"/>
      <c r="W26" s="21">
        <v>0</v>
      </c>
    </row>
    <row r="27" spans="3:23" ht="13.5">
      <c r="C27" s="21"/>
      <c r="D27" s="4" t="s">
        <v>17</v>
      </c>
      <c r="E27" s="2">
        <f>ATAN(D12)</f>
        <v>0.14888994760949725</v>
      </c>
      <c r="F27" s="2" t="s">
        <v>81</v>
      </c>
      <c r="G27" s="2">
        <f>E27*180/PI()</f>
        <v>8.530765609948133</v>
      </c>
      <c r="H27" s="2" t="s">
        <v>80</v>
      </c>
      <c r="T27" s="21">
        <f>IF(K38&lt;N38,T26+U32*COS(F64),D14/TAN(F64)+T26)</f>
        <v>11.091860684958741</v>
      </c>
      <c r="U27" s="21"/>
      <c r="W27" s="21">
        <f>IF(K38&gt;N38,V25,U32*SIN(F64))</f>
        <v>8</v>
      </c>
    </row>
    <row r="28" spans="3:24" ht="13.5">
      <c r="C28" s="21"/>
      <c r="T28" s="21">
        <f>IF(K38&gt;N38,T24,T20)</f>
        <v>6.696152422706632</v>
      </c>
      <c r="U28" s="21"/>
      <c r="V28" s="21"/>
      <c r="X28" s="2">
        <f>IF(K38&gt;N38,V24,U20)</f>
        <v>8</v>
      </c>
    </row>
    <row r="29" spans="2:24" ht="13.5">
      <c r="B29" s="4" t="s">
        <v>103</v>
      </c>
      <c r="C29" s="21"/>
      <c r="G29" s="21" t="s">
        <v>17</v>
      </c>
      <c r="H29" s="2">
        <f>SIN(F9-E27)/COS(E27)/COS(F16)*((TAN(F16)+1/TAN(F9-E27))^0.5-(TAN(F16)-E24)^0.5)^2</f>
        <v>0.4995178812555768</v>
      </c>
      <c r="T29" s="21">
        <f>T28</f>
        <v>6.696152422706632</v>
      </c>
      <c r="U29" s="21"/>
      <c r="V29" s="21"/>
      <c r="X29" s="2">
        <f>IF(K38&gt;N38,V24+D11/D8,U20+D11/D8)</f>
        <v>8</v>
      </c>
    </row>
    <row r="30" spans="3:24" ht="13.5">
      <c r="C30" s="21"/>
      <c r="T30" s="21">
        <f>T25</f>
        <v>16.09186068495874</v>
      </c>
      <c r="U30" s="21"/>
      <c r="V30" s="21"/>
      <c r="X30" s="2">
        <f>IF(K38&gt;N38,X29,V25+D11/D8)</f>
        <v>8</v>
      </c>
    </row>
    <row r="31" spans="20:22" ht="13.5">
      <c r="T31" s="21"/>
      <c r="U31" s="21"/>
      <c r="V31" s="21"/>
    </row>
    <row r="32" spans="2:22" ht="13.5">
      <c r="B32" s="4" t="s">
        <v>104</v>
      </c>
      <c r="C32" s="21"/>
      <c r="E32" s="21" t="s">
        <v>17</v>
      </c>
      <c r="F32" s="2">
        <f>1/2*D8*D14^2*H29*(1+2*D11/(D8*D14))</f>
        <v>303.7068718033907</v>
      </c>
      <c r="G32" s="2" t="s">
        <v>95</v>
      </c>
      <c r="T32" s="2" t="s">
        <v>115</v>
      </c>
      <c r="U32" s="21">
        <f>COS(F6-F7)/SIN(F64-F7)/COS(F6)*D4</f>
        <v>18.00282299263254</v>
      </c>
      <c r="V32" s="21"/>
    </row>
    <row r="33" spans="3:22" ht="13.5">
      <c r="C33" s="21"/>
      <c r="T33" s="21" t="s">
        <v>116</v>
      </c>
      <c r="U33" s="21">
        <f>IF(F7=0,0,1/TAN(F7))</f>
        <v>1.7320508075688774</v>
      </c>
      <c r="V33" s="21"/>
    </row>
    <row r="34" spans="2:22" ht="13.5">
      <c r="B34" s="4"/>
      <c r="C34" s="21"/>
      <c r="T34" s="21"/>
      <c r="U34" s="21"/>
      <c r="V34" s="21"/>
    </row>
    <row r="35" spans="2:11" ht="13.5">
      <c r="B35" s="4" t="s">
        <v>105</v>
      </c>
      <c r="C35" s="21"/>
      <c r="G35" s="2" t="s">
        <v>17</v>
      </c>
      <c r="H35" s="2">
        <f>ATAN(1/(((TAN(F16)+1/TAN(F9-E27))*(TAN(F16)-E24))^0.5-TAN(F16)))</f>
        <v>0.8338308986294791</v>
      </c>
      <c r="I35" s="2" t="s">
        <v>81</v>
      </c>
      <c r="J35" s="2">
        <f>H35*180/PI()</f>
        <v>47.77499131906993</v>
      </c>
      <c r="K35" s="2" t="s">
        <v>80</v>
      </c>
    </row>
    <row r="36" ht="13.5">
      <c r="C36" s="21"/>
    </row>
    <row r="37" ht="13.5">
      <c r="C37" s="21"/>
    </row>
    <row r="38" spans="3:15" ht="13.5">
      <c r="C38" s="21"/>
      <c r="H38" s="2" t="s">
        <v>17</v>
      </c>
      <c r="I38" s="2">
        <f>IF(F7=0,PI()/2,ATAN(D14/(D5*U33-D4*TAN(F6))))</f>
        <v>1.226944368003581</v>
      </c>
      <c r="J38" s="2" t="s">
        <v>81</v>
      </c>
      <c r="K38" s="2">
        <f>I38*180/PI()</f>
        <v>70.29873398395131</v>
      </c>
      <c r="L38" s="2" t="s">
        <v>80</v>
      </c>
      <c r="M38" s="2" t="str">
        <f>IF(K38&lt;N38,"&lt;","&gt;")</f>
        <v>&gt;</v>
      </c>
      <c r="N38" s="2">
        <f>J35</f>
        <v>47.77499131906993</v>
      </c>
      <c r="O38" s="2" t="str">
        <f>K35</f>
        <v>度</v>
      </c>
    </row>
    <row r="39" ht="13.5">
      <c r="C39" s="21"/>
    </row>
    <row r="40" spans="3:9" ht="13.5">
      <c r="C40" s="21"/>
      <c r="I40" s="30" t="str">
        <f>IF($K$38&gt;$N$38,"中畑式が適用できる"," ")</f>
        <v>中畑式が適用できる</v>
      </c>
    </row>
    <row r="41" spans="3:9" ht="13.5">
      <c r="C41" s="21"/>
      <c r="I41" s="29" t="str">
        <f>IF($K$38&gt;$N$38," ","中畑式は適用できない。クーロン式で計算すること")</f>
        <v> </v>
      </c>
    </row>
    <row r="42" spans="1:14" ht="13.5">
      <c r="A42" s="34"/>
      <c r="B42" s="34"/>
      <c r="C42" s="35"/>
      <c r="D42" s="34"/>
      <c r="E42" s="34"/>
      <c r="F42" s="34"/>
      <c r="G42" s="34"/>
      <c r="H42" s="34"/>
      <c r="I42" s="36"/>
      <c r="J42" s="34"/>
      <c r="K42" s="34"/>
      <c r="L42" s="34"/>
      <c r="M42" s="34"/>
      <c r="N42" s="31"/>
    </row>
    <row r="43" spans="1:14" ht="13.5">
      <c r="A43" s="31"/>
      <c r="B43" s="31"/>
      <c r="C43" s="32"/>
      <c r="D43" s="31"/>
      <c r="E43" s="31"/>
      <c r="F43" s="31"/>
      <c r="G43" s="31"/>
      <c r="H43" s="31"/>
      <c r="I43" s="33"/>
      <c r="J43" s="31"/>
      <c r="K43" s="31"/>
      <c r="L43" s="31"/>
      <c r="M43" s="31"/>
      <c r="N43" s="31"/>
    </row>
    <row r="44" spans="1:5" ht="13.5">
      <c r="A44" s="2" t="s">
        <v>108</v>
      </c>
      <c r="B44" s="21"/>
      <c r="E44" s="22"/>
    </row>
    <row r="45" spans="2:5" ht="13.5">
      <c r="B45" s="21"/>
      <c r="E45" s="22"/>
    </row>
    <row r="47" spans="2:10" ht="14.25">
      <c r="B47" s="4" t="s">
        <v>103</v>
      </c>
      <c r="I47" s="4" t="s">
        <v>17</v>
      </c>
      <c r="J47" s="2" t="e">
        <f>COS(F9-F6-E27)^2/(COS(E27)*COS(F6)^2*COS(F6+F10+E27)*(1+(SIN(F9+F10)*SIN(F9-F7-E27)/COS(F6+F10+E27)/COS(F6-F7))^0.5)^2)</f>
        <v>#NUM!</v>
      </c>
    </row>
    <row r="51" spans="2:7" ht="14.25">
      <c r="B51" s="4" t="s">
        <v>104</v>
      </c>
      <c r="E51" s="4" t="s">
        <v>17</v>
      </c>
      <c r="F51" s="2" t="e">
        <f>1/2*D8*D4^2*J47*(1+2*D11/D8/D4)</f>
        <v>#NUM!</v>
      </c>
      <c r="G51" s="2" t="s">
        <v>96</v>
      </c>
    </row>
    <row r="54" ht="14.25">
      <c r="B54" s="4" t="s">
        <v>105</v>
      </c>
    </row>
    <row r="55" spans="2:13" ht="14.25">
      <c r="B55" s="4"/>
      <c r="J55" s="2" t="e">
        <f>F7+ATAN(COS(E27+F10+F6-F7)/((COS(F6+F10+E27)*SIN(F9+F10)/(COS(F6-F7)*SIN(F9-F7-E27)))^0.5-SIN(F9+F10+F6-F7)))</f>
        <v>#NUM!</v>
      </c>
      <c r="K55" s="2" t="s">
        <v>47</v>
      </c>
      <c r="L55" s="2" t="e">
        <f>J55*180/PI()</f>
        <v>#NUM!</v>
      </c>
      <c r="M55" s="2" t="s">
        <v>113</v>
      </c>
    </row>
    <row r="56" ht="14.25">
      <c r="B56" s="4"/>
    </row>
    <row r="58" spans="1:13" ht="14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4" ht="13.5">
      <c r="B60" s="2" t="s">
        <v>97</v>
      </c>
      <c r="D60" s="4" t="str">
        <f>IF(K38&gt;N38,"(中畑式)","(クーロン式)")</f>
        <v>(中畑式)</v>
      </c>
    </row>
    <row r="61" ht="13.5">
      <c r="F61" s="22"/>
    </row>
    <row r="62" spans="2:6" ht="13.5">
      <c r="B62" s="4" t="s">
        <v>103</v>
      </c>
      <c r="C62" s="21" t="s">
        <v>98</v>
      </c>
      <c r="D62" s="2">
        <f>IF(H35&lt;=I38,H29,J47)</f>
        <v>0.4995178812555768</v>
      </c>
      <c r="F62" s="22"/>
    </row>
    <row r="63" spans="2:6" ht="13.5">
      <c r="B63" s="4" t="s">
        <v>104</v>
      </c>
      <c r="C63" s="21" t="s">
        <v>99</v>
      </c>
      <c r="D63" s="2">
        <f>IF(H35&lt;=I38,F32,F51)</f>
        <v>303.7068718033907</v>
      </c>
      <c r="E63" s="2" t="s">
        <v>100</v>
      </c>
      <c r="F63" s="22"/>
    </row>
    <row r="64" spans="2:7" ht="13.5">
      <c r="B64" s="4" t="s">
        <v>105</v>
      </c>
      <c r="C64" s="21" t="s">
        <v>114</v>
      </c>
      <c r="D64" s="2">
        <f>IF(K38&gt;N38,J35,L55)</f>
        <v>47.77499131906993</v>
      </c>
      <c r="E64" s="2" t="s">
        <v>113</v>
      </c>
      <c r="F64" s="2">
        <f>D64*PI()/180</f>
        <v>0.8338308986294791</v>
      </c>
      <c r="G64" s="2" t="s">
        <v>47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12"/>
  <drawing r:id="rId11"/>
  <legacyDrawing r:id="rId10"/>
  <oleObjects>
    <oleObject progId="Equation.3" shapeId="670664" r:id="rId1"/>
    <oleObject progId="Equation.3" shapeId="672876" r:id="rId2"/>
    <oleObject progId="Equation.3" shapeId="674676" r:id="rId3"/>
    <oleObject progId="Equation.3" shapeId="677538" r:id="rId4"/>
    <oleObject progId="Equation.3" shapeId="679638" r:id="rId5"/>
    <oleObject progId="Equation.3" shapeId="681697" r:id="rId6"/>
    <oleObject progId="Equation.3" shapeId="690904" r:id="rId7"/>
    <oleObject progId="Equation.3" shapeId="756361" r:id="rId8"/>
    <oleObject progId="Equation.3" shapeId="1005461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User</cp:lastModifiedBy>
  <dcterms:created xsi:type="dcterms:W3CDTF">2001-11-29T23:14:00Z</dcterms:created>
  <dcterms:modified xsi:type="dcterms:W3CDTF">2011-08-21T12:11:53Z</dcterms:modified>
  <cp:category/>
  <cp:version/>
  <cp:contentType/>
  <cp:contentStatus/>
</cp:coreProperties>
</file>